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/>
  <bookViews>
    <workbookView xWindow="9555" yWindow="-15" windowWidth="9585" windowHeight="12375"/>
  </bookViews>
  <sheets>
    <sheet name="Main" sheetId="1" r:id="rId1"/>
    <sheet name="VectorCalculations" sheetId="9" r:id="rId2"/>
    <sheet name="Travel" sheetId="6" r:id="rId3"/>
    <sheet name="Material" sheetId="8" r:id="rId4"/>
    <sheet name="Coordinate" sheetId="4" r:id="rId5"/>
    <sheet name="Plot" sheetId="5" r:id="rId6"/>
    <sheet name="Revision" sheetId="3" r:id="rId7"/>
  </sheets>
  <definedNames>
    <definedName name="Front_Unsprung_Mass">Main!$C$8</definedName>
    <definedName name="_xlnm.Print_Area" localSheetId="0">Main!$B$1:$N$19</definedName>
    <definedName name="_xlnm.Print_Area" localSheetId="3">Material!$B$1:$H$35</definedName>
    <definedName name="_xlnm.Print_Area" localSheetId="2">Travel!$B$2:$M$28</definedName>
    <definedName name="_xlnm.Print_Area" localSheetId="1">VectorCalculations!$B$1:$L$21</definedName>
    <definedName name="Rear_Unsprung_Mass">Main!$C$9</definedName>
    <definedName name="solver_adj" localSheetId="2" hidden="1">Travel!$I$7,Travel!$K$7</definedName>
    <definedName name="solver_cvg" localSheetId="2" hidden="1">0.00001</definedName>
    <definedName name="solver_drv" localSheetId="2" hidden="1">2</definedName>
    <definedName name="solver_est" localSheetId="2" hidden="1">1</definedName>
    <definedName name="solver_itr" localSheetId="2" hidden="1">1000</definedName>
    <definedName name="solver_lhs1" localSheetId="2" hidden="1">Travel!$K$7</definedName>
    <definedName name="solver_lhs10" localSheetId="2" hidden="1">Travel!$Q$7</definedName>
    <definedName name="solver_lhs11" localSheetId="2" hidden="1">Travel!$K$7</definedName>
    <definedName name="solver_lhs12" localSheetId="2" hidden="1">Travel!$K$7</definedName>
    <definedName name="solver_lhs13" localSheetId="2" hidden="1">Travel!$I$10</definedName>
    <definedName name="solver_lhs14" localSheetId="2" hidden="1">Travel!$K$7</definedName>
    <definedName name="solver_lhs15" localSheetId="2" hidden="1">Travel!$I$10</definedName>
    <definedName name="solver_lhs16" localSheetId="2" hidden="1">Travel!$K$7</definedName>
    <definedName name="solver_lhs17" localSheetId="2" hidden="1">Travel!$I$10</definedName>
    <definedName name="solver_lhs18" localSheetId="2" hidden="1">Travel!$K$7</definedName>
    <definedName name="solver_lhs19" localSheetId="2" hidden="1">Travel!$I$10</definedName>
    <definedName name="solver_lhs2" localSheetId="2" hidden="1">Travel!$I$10</definedName>
    <definedName name="solver_lhs20" localSheetId="2" hidden="1">Travel!$K$7</definedName>
    <definedName name="solver_lhs21" localSheetId="2" hidden="1">Travel!$I$10</definedName>
    <definedName name="solver_lhs22" localSheetId="2" hidden="1">Travel!$K$7</definedName>
    <definedName name="solver_lhs23" localSheetId="2" hidden="1">Travel!$I$10</definedName>
    <definedName name="solver_lhs24" localSheetId="2" hidden="1">Travel!$K$7</definedName>
    <definedName name="solver_lhs25" localSheetId="2" hidden="1">Travel!$I$10</definedName>
    <definedName name="solver_lhs26" localSheetId="2" hidden="1">Travel!$K$7</definedName>
    <definedName name="solver_lhs27" localSheetId="2" hidden="1">Travel!$I$10</definedName>
    <definedName name="solver_lhs28" localSheetId="2" hidden="1">Travel!$K$7</definedName>
    <definedName name="solver_lhs29" localSheetId="2" hidden="1">Travel!$I$10</definedName>
    <definedName name="solver_lhs3" localSheetId="2" hidden="1">Travel!$I$10</definedName>
    <definedName name="solver_lhs30" localSheetId="2" hidden="1">Travel!$K$7</definedName>
    <definedName name="solver_lhs31" localSheetId="2" hidden="1">Travel!$I$10</definedName>
    <definedName name="solver_lhs32" localSheetId="2" hidden="1">Travel!$K$7</definedName>
    <definedName name="solver_lhs4" localSheetId="2" hidden="1">Travel!$K$7</definedName>
    <definedName name="solver_lhs5" localSheetId="2" hidden="1">Travel!$K$7</definedName>
    <definedName name="solver_lhs6" localSheetId="2" hidden="1">Travel!$K$7</definedName>
    <definedName name="solver_lhs7" localSheetId="2" hidden="1">Travel!$O$10</definedName>
    <definedName name="solver_lhs8" localSheetId="2" hidden="1">Travel!$Q$7</definedName>
    <definedName name="solver_lhs9" localSheetId="2" hidden="1">Travel!$O$10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Travel!$I$11</definedName>
    <definedName name="solver_pre" localSheetId="2" hidden="1">0.0001</definedName>
    <definedName name="solver_rel1" localSheetId="2" hidden="1">3</definedName>
    <definedName name="solver_rel10" localSheetId="2" hidden="1">1</definedName>
    <definedName name="solver_rel11" localSheetId="2" hidden="1">3</definedName>
    <definedName name="solver_rel12" localSheetId="2" hidden="1">3</definedName>
    <definedName name="solver_rel13" localSheetId="2" hidden="1">2</definedName>
    <definedName name="solver_rel14" localSheetId="2" hidden="1">3</definedName>
    <definedName name="solver_rel15" localSheetId="2" hidden="1">2</definedName>
    <definedName name="solver_rel16" localSheetId="2" hidden="1">3</definedName>
    <definedName name="solver_rel17" localSheetId="2" hidden="1">2</definedName>
    <definedName name="solver_rel18" localSheetId="2" hidden="1">3</definedName>
    <definedName name="solver_rel19" localSheetId="2" hidden="1">2</definedName>
    <definedName name="solver_rel2" localSheetId="2" hidden="1">2</definedName>
    <definedName name="solver_rel20" localSheetId="2" hidden="1">3</definedName>
    <definedName name="solver_rel21" localSheetId="2" hidden="1">2</definedName>
    <definedName name="solver_rel22" localSheetId="2" hidden="1">3</definedName>
    <definedName name="solver_rel23" localSheetId="2" hidden="1">2</definedName>
    <definedName name="solver_rel24" localSheetId="2" hidden="1">3</definedName>
    <definedName name="solver_rel25" localSheetId="2" hidden="1">2</definedName>
    <definedName name="solver_rel26" localSheetId="2" hidden="1">3</definedName>
    <definedName name="solver_rel27" localSheetId="2" hidden="1">2</definedName>
    <definedName name="solver_rel28" localSheetId="2" hidden="1">3</definedName>
    <definedName name="solver_rel29" localSheetId="2" hidden="1">2</definedName>
    <definedName name="solver_rel3" localSheetId="2" hidden="1">2</definedName>
    <definedName name="solver_rel30" localSheetId="2" hidden="1">3</definedName>
    <definedName name="solver_rel31" localSheetId="2" hidden="1">2</definedName>
    <definedName name="solver_rel32" localSheetId="2" hidden="1">3</definedName>
    <definedName name="solver_rel4" localSheetId="2" hidden="1">3</definedName>
    <definedName name="solver_rel5" localSheetId="2" hidden="1">3</definedName>
    <definedName name="solver_rel6" localSheetId="2" hidden="1">3</definedName>
    <definedName name="solver_rel7" localSheetId="2" hidden="1">2</definedName>
    <definedName name="solver_rel8" localSheetId="2" hidden="1">1</definedName>
    <definedName name="solver_rel9" localSheetId="2" hidden="1">2</definedName>
    <definedName name="solver_rhs1" localSheetId="2" hidden="1">Travel!$E$7</definedName>
    <definedName name="solver_rhs10" localSheetId="2" hidden="1">Travel!$E$7</definedName>
    <definedName name="solver_rhs11" localSheetId="2" hidden="1">Travel!$E$7</definedName>
    <definedName name="solver_rhs12" localSheetId="2" hidden="1">Travel!$E$7</definedName>
    <definedName name="solver_rhs13" localSheetId="2" hidden="1">Travel!$C$10</definedName>
    <definedName name="solver_rhs14" localSheetId="2" hidden="1">Travel!$E$7</definedName>
    <definedName name="solver_rhs15" localSheetId="2" hidden="1">Travel!$C$10</definedName>
    <definedName name="solver_rhs16" localSheetId="2" hidden="1">Travel!$E$7</definedName>
    <definedName name="solver_rhs17" localSheetId="2" hidden="1">Travel!$C$10</definedName>
    <definedName name="solver_rhs18" localSheetId="2" hidden="1">Travel!$E$7</definedName>
    <definedName name="solver_rhs19" localSheetId="2" hidden="1">Travel!$C$10</definedName>
    <definedName name="solver_rhs2" localSheetId="2" hidden="1">Travel!$C$10</definedName>
    <definedName name="solver_rhs20" localSheetId="2" hidden="1">Travel!$E$7</definedName>
    <definedName name="solver_rhs21" localSheetId="2" hidden="1">Travel!$C$10</definedName>
    <definedName name="solver_rhs22" localSheetId="2" hidden="1">Travel!$E$7</definedName>
    <definedName name="solver_rhs23" localSheetId="2" hidden="1">Travel!$C$10</definedName>
    <definedName name="solver_rhs24" localSheetId="2" hidden="1">Travel!$E$7</definedName>
    <definedName name="solver_rhs25" localSheetId="2" hidden="1">Travel!$C$10</definedName>
    <definedName name="solver_rhs26" localSheetId="2" hidden="1">Travel!$E$7</definedName>
    <definedName name="solver_rhs27" localSheetId="2" hidden="1">Travel!$C$10</definedName>
    <definedName name="solver_rhs28" localSheetId="2" hidden="1">Travel!$E$7</definedName>
    <definedName name="solver_rhs29" localSheetId="2" hidden="1">Travel!$C$10</definedName>
    <definedName name="solver_rhs3" localSheetId="2" hidden="1">Travel!$C$10</definedName>
    <definedName name="solver_rhs30" localSheetId="2" hidden="1">Travel!$E$7</definedName>
    <definedName name="solver_rhs31" localSheetId="2" hidden="1">Travel!$C$10</definedName>
    <definedName name="solver_rhs32" localSheetId="2" hidden="1">Travel!$E$7</definedName>
    <definedName name="solver_rhs4" localSheetId="2" hidden="1">Travel!$E$7</definedName>
    <definedName name="solver_rhs5" localSheetId="2" hidden="1">Travel!$E$7</definedName>
    <definedName name="solver_rhs6" localSheetId="2" hidden="1">Travel!$E$7</definedName>
    <definedName name="solver_rhs7" localSheetId="2" hidden="1">Travel!$C$10</definedName>
    <definedName name="solver_rhs8" localSheetId="2" hidden="1">Travel!$E$7</definedName>
    <definedName name="solver_rhs9" localSheetId="2" hidden="1">Travel!$C$10</definedName>
    <definedName name="solver_scl" localSheetId="2" hidden="1">1</definedName>
    <definedName name="solver_sho" localSheetId="2" hidden="1">2</definedName>
    <definedName name="solver_tim" localSheetId="2" hidden="1">100</definedName>
    <definedName name="solver_tol" localSheetId="2" hidden="1">0.02</definedName>
    <definedName name="solver_typ" localSheetId="2" hidden="1">3</definedName>
    <definedName name="solver_val" localSheetId="2" hidden="1">0</definedName>
    <definedName name="Tire_Rolling_Radius">Main!$C$5</definedName>
    <definedName name="Vehicle_CG_Height">Main!$C$6</definedName>
    <definedName name="Vehicle_Mass">Main!$C$7</definedName>
    <definedName name="Wheelbase">Main!$C$3</definedName>
  </definedNames>
  <calcPr calcId="125725"/>
</workbook>
</file>

<file path=xl/calcChain.xml><?xml version="1.0" encoding="utf-8"?>
<calcChain xmlns="http://schemas.openxmlformats.org/spreadsheetml/2006/main">
  <c r="C4" i="9"/>
  <c r="C3"/>
  <c r="P41" i="6"/>
  <c r="J41"/>
  <c r="E7"/>
  <c r="E21"/>
  <c r="C7"/>
  <c r="C21"/>
  <c r="Q21"/>
  <c r="C20"/>
  <c r="C22"/>
  <c r="E20"/>
  <c r="E22"/>
  <c r="Q20"/>
  <c r="O20"/>
  <c r="O21"/>
  <c r="R41"/>
  <c r="K21"/>
  <c r="K20"/>
  <c r="I20"/>
  <c r="I21"/>
  <c r="L41"/>
  <c r="R40"/>
  <c r="Q40"/>
  <c r="P40"/>
  <c r="O40"/>
  <c r="L40"/>
  <c r="K40"/>
  <c r="I44" s="1"/>
  <c r="J40"/>
  <c r="I40"/>
  <c r="O42"/>
  <c r="C42"/>
  <c r="O43"/>
  <c r="I42"/>
  <c r="I43"/>
  <c r="O44"/>
  <c r="O46"/>
  <c r="O45"/>
  <c r="C43"/>
  <c r="C44"/>
  <c r="C45"/>
  <c r="C20" i="9"/>
  <c r="C19"/>
  <c r="C21"/>
  <c r="E20"/>
  <c r="E19"/>
  <c r="E21"/>
  <c r="D19"/>
  <c r="D20"/>
  <c r="D21"/>
  <c r="C22"/>
  <c r="C23"/>
  <c r="E23"/>
  <c r="E8"/>
  <c r="C26"/>
  <c r="G18" i="8"/>
  <c r="H18"/>
  <c r="D8" i="9"/>
  <c r="D7"/>
  <c r="D9"/>
  <c r="C7"/>
  <c r="C8"/>
  <c r="C9"/>
  <c r="E7"/>
  <c r="E9"/>
  <c r="C10"/>
  <c r="C11"/>
  <c r="E11"/>
  <c r="C14"/>
  <c r="C18" i="8"/>
  <c r="D18"/>
  <c r="E6" i="6"/>
  <c r="Q6"/>
  <c r="C6"/>
  <c r="O6"/>
  <c r="O17"/>
  <c r="Q13"/>
  <c r="Q25"/>
  <c r="O28"/>
  <c r="O34"/>
  <c r="O35"/>
  <c r="O30"/>
  <c r="K6"/>
  <c r="I6"/>
  <c r="I17"/>
  <c r="K13"/>
  <c r="I28"/>
  <c r="E12" i="9"/>
  <c r="C17"/>
  <c r="E24"/>
  <c r="C29"/>
  <c r="C35"/>
  <c r="C36"/>
  <c r="C31"/>
  <c r="C17" i="6"/>
  <c r="E13"/>
  <c r="E25"/>
  <c r="C28"/>
  <c r="C34"/>
  <c r="C35"/>
  <c r="C30"/>
  <c r="C2" i="9"/>
  <c r="I22" i="6"/>
  <c r="D20"/>
  <c r="J20"/>
  <c r="D21"/>
  <c r="J21"/>
  <c r="J22"/>
  <c r="K22"/>
  <c r="I23"/>
  <c r="I24"/>
  <c r="D7"/>
  <c r="P7"/>
  <c r="J7"/>
  <c r="G15" i="5"/>
  <c r="D6" i="6"/>
  <c r="P6"/>
  <c r="J6"/>
  <c r="N6"/>
  <c r="H6"/>
  <c r="L6"/>
  <c r="O13"/>
  <c r="Q14"/>
  <c r="I13"/>
  <c r="K14"/>
  <c r="C13"/>
  <c r="E14"/>
  <c r="D26" i="9"/>
  <c r="D14"/>
  <c r="B1" i="3"/>
  <c r="B1" i="5"/>
  <c r="B1" i="4"/>
  <c r="B1" i="8"/>
  <c r="B1" i="6"/>
  <c r="B1" i="9"/>
  <c r="G10" i="8"/>
  <c r="G9"/>
  <c r="G8"/>
  <c r="C10"/>
  <c r="C9"/>
  <c r="C8"/>
  <c r="J7" i="5"/>
  <c r="J8"/>
  <c r="J9"/>
  <c r="J10"/>
  <c r="J11"/>
  <c r="J12"/>
  <c r="J13"/>
  <c r="J14"/>
  <c r="J15"/>
  <c r="J16"/>
  <c r="J17"/>
  <c r="J18"/>
  <c r="J6"/>
  <c r="I18"/>
  <c r="I7"/>
  <c r="I8"/>
  <c r="I9"/>
  <c r="I10"/>
  <c r="I11"/>
  <c r="I12"/>
  <c r="I13"/>
  <c r="I14"/>
  <c r="I15"/>
  <c r="I16"/>
  <c r="I17"/>
  <c r="I6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5"/>
  <c r="L18"/>
  <c r="G16" i="8"/>
  <c r="G11"/>
  <c r="G15"/>
  <c r="G21"/>
  <c r="C16"/>
  <c r="C11"/>
  <c r="C15"/>
  <c r="C21"/>
  <c r="M13" i="5"/>
  <c r="M24"/>
  <c r="O10" i="6"/>
  <c r="C10"/>
  <c r="I10"/>
  <c r="O8"/>
  <c r="Q8"/>
  <c r="P8"/>
  <c r="O9"/>
  <c r="C8"/>
  <c r="D8"/>
  <c r="E8"/>
  <c r="C9"/>
  <c r="O11"/>
  <c r="O22"/>
  <c r="P20"/>
  <c r="P21"/>
  <c r="P22"/>
  <c r="Q22"/>
  <c r="O23"/>
  <c r="O24"/>
  <c r="Q24"/>
  <c r="I8"/>
  <c r="J8"/>
  <c r="K8"/>
  <c r="I9"/>
  <c r="O12"/>
  <c r="Q12"/>
  <c r="O18"/>
  <c r="I12"/>
  <c r="K12"/>
  <c r="I18"/>
  <c r="C12"/>
  <c r="E12"/>
  <c r="C18"/>
  <c r="K24"/>
  <c r="D22"/>
  <c r="C23"/>
  <c r="C24"/>
  <c r="E24"/>
  <c r="D11" i="9"/>
  <c r="F11"/>
  <c r="D23"/>
  <c r="F23"/>
  <c r="D12"/>
  <c r="D24"/>
  <c r="C15"/>
  <c r="D15"/>
  <c r="E15"/>
  <c r="C27"/>
  <c r="D27"/>
  <c r="E27"/>
  <c r="C16"/>
  <c r="C28"/>
  <c r="C12" i="8"/>
  <c r="G12"/>
  <c r="C13"/>
  <c r="G13"/>
  <c r="C14"/>
  <c r="G14"/>
  <c r="C17"/>
  <c r="G17"/>
  <c r="C19"/>
  <c r="G19"/>
  <c r="C20"/>
  <c r="G20"/>
  <c r="C22"/>
  <c r="G22"/>
  <c r="O27" i="6"/>
  <c r="P24"/>
  <c r="P25"/>
  <c r="R24"/>
  <c r="O16"/>
  <c r="Q15"/>
  <c r="P12"/>
  <c r="P15"/>
  <c r="O15"/>
  <c r="P13"/>
  <c r="R12"/>
  <c r="I11"/>
  <c r="J24"/>
  <c r="K15"/>
  <c r="J12"/>
  <c r="J15"/>
  <c r="I15"/>
  <c r="I27"/>
  <c r="J25"/>
  <c r="L24"/>
  <c r="I16"/>
  <c r="I14"/>
  <c r="J13"/>
  <c r="L12"/>
  <c r="D12"/>
  <c r="D13"/>
  <c r="D15"/>
  <c r="C15"/>
  <c r="E15"/>
  <c r="D24"/>
  <c r="C14"/>
  <c r="C16"/>
  <c r="C27"/>
  <c r="F12"/>
  <c r="F24"/>
  <c r="D25"/>
  <c r="M7" i="5"/>
  <c r="N7"/>
  <c r="M6"/>
  <c r="M8"/>
  <c r="N8"/>
  <c r="M9"/>
  <c r="N9"/>
  <c r="M12"/>
  <c r="N12"/>
  <c r="N13"/>
  <c r="M14"/>
  <c r="N14"/>
  <c r="M17"/>
  <c r="N17"/>
  <c r="M18"/>
  <c r="N18"/>
  <c r="M19"/>
  <c r="N19"/>
  <c r="M20"/>
  <c r="N20"/>
  <c r="M23"/>
  <c r="N23"/>
  <c r="N24"/>
  <c r="M25"/>
  <c r="N25"/>
  <c r="N6"/>
  <c r="L17"/>
  <c r="L23"/>
  <c r="L25"/>
  <c r="L7"/>
  <c r="L12"/>
  <c r="L14"/>
  <c r="L20"/>
  <c r="L19"/>
  <c r="L9"/>
  <c r="L8"/>
  <c r="L6"/>
  <c r="G23"/>
  <c r="H9"/>
  <c r="G9"/>
  <c r="G5"/>
  <c r="H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5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8"/>
  <c r="C6"/>
  <c r="C5"/>
  <c r="C7"/>
  <c r="O14" i="6"/>
  <c r="C24" i="9"/>
  <c r="C25"/>
  <c r="L24" i="5"/>
  <c r="C12" i="9"/>
  <c r="G28" i="5"/>
  <c r="C13" i="9"/>
  <c r="L13" i="5"/>
  <c r="G26"/>
  <c r="C25" i="6"/>
  <c r="E26"/>
  <c r="C31"/>
  <c r="C33"/>
  <c r="D33"/>
  <c r="D31"/>
  <c r="C26"/>
  <c r="C32"/>
  <c r="H23" i="5"/>
  <c r="H19"/>
  <c r="H18"/>
  <c r="M3" i="1"/>
  <c r="E13" i="9"/>
  <c r="E25"/>
  <c r="C32" s="1"/>
  <c r="H26" i="5"/>
  <c r="H28"/>
  <c r="G6"/>
  <c r="H6"/>
  <c r="G10"/>
  <c r="H10"/>
  <c r="M7" i="1"/>
  <c r="M6"/>
  <c r="G14" i="5"/>
  <c r="H14"/>
  <c r="H15"/>
  <c r="O25" i="6"/>
  <c r="Q26"/>
  <c r="O31"/>
  <c r="O33"/>
  <c r="P33"/>
  <c r="I25"/>
  <c r="K25"/>
  <c r="K26"/>
  <c r="I31"/>
  <c r="I33"/>
  <c r="J33"/>
  <c r="P31"/>
  <c r="J31"/>
  <c r="I26"/>
  <c r="O26"/>
  <c r="O32"/>
  <c r="I32"/>
  <c r="I34"/>
  <c r="I35"/>
  <c r="I30"/>
  <c r="C33" i="9" l="1"/>
  <c r="C34"/>
  <c r="D32"/>
  <c r="I46" i="6"/>
  <c r="I45"/>
  <c r="M5" i="1" l="1"/>
  <c r="N5" s="1"/>
  <c r="D34" i="9"/>
  <c r="H27" i="5"/>
  <c r="M4" i="1"/>
</calcChain>
</file>

<file path=xl/comments1.xml><?xml version="1.0" encoding="utf-8"?>
<comments xmlns="http://schemas.openxmlformats.org/spreadsheetml/2006/main">
  <authors>
    <author>Author</author>
  </authors>
  <commentList>
    <comment ref="G4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H4" authorId="0">
      <text>
        <r>
          <rPr>
            <b/>
            <sz val="8"/>
            <color indexed="81"/>
            <rFont val="Tahoma"/>
          </rPr>
          <t>This is half (1/2) of your upper link horizontal separation at the frame</t>
        </r>
      </text>
    </comment>
    <comment ref="I4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G5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H5" authorId="0">
      <text>
        <r>
          <rPr>
            <b/>
            <sz val="8"/>
            <color indexed="81"/>
            <rFont val="Tahoma"/>
          </rPr>
          <t>This is half (1/2) of your upper link horizontal separation at the axle</t>
        </r>
      </text>
    </comment>
    <comment ref="I5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C6" authorId="0">
      <text>
        <r>
          <rPr>
            <b/>
            <sz val="8"/>
            <color indexed="81"/>
            <rFont val="Tahoma"/>
          </rPr>
          <t>See VectorCalculations sheet, top left, for Sprung Mass CG &amp; Anti-Squat CG calculations</t>
        </r>
      </text>
    </comment>
    <comment ref="G7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H7" authorId="0">
      <text>
        <r>
          <rPr>
            <b/>
            <sz val="8"/>
            <color indexed="81"/>
            <rFont val="Tahoma"/>
          </rPr>
          <t>This is half (1/2) of your lower link horizontal separation at the frame</t>
        </r>
      </text>
    </comment>
    <comment ref="I7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G8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H8" authorId="0">
      <text>
        <r>
          <rPr>
            <b/>
            <sz val="8"/>
            <color indexed="81"/>
            <rFont val="Tahoma"/>
          </rPr>
          <t>This is half (1/2) of your lower link horizontal separation at the axle end</t>
        </r>
      </text>
    </comment>
    <comment ref="I8" authorId="0">
      <text>
        <r>
          <rPr>
            <b/>
            <sz val="8"/>
            <color indexed="81"/>
            <rFont val="Tahoma"/>
          </rPr>
          <t>Height from ground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7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D7" authorId="0">
      <text>
        <r>
          <rPr>
            <b/>
            <sz val="8"/>
            <color indexed="81"/>
            <rFont val="Tahoma"/>
          </rPr>
          <t>This is half (1/2) of your upper link horizontal separation at the frame</t>
        </r>
      </text>
    </comment>
    <comment ref="E7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C8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D8" authorId="0">
      <text>
        <r>
          <rPr>
            <b/>
            <sz val="8"/>
            <color indexed="81"/>
            <rFont val="Tahoma"/>
          </rPr>
          <t>This is half (1/2) of your upper link horizontal separation at the axle</t>
        </r>
      </text>
    </comment>
    <comment ref="E8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C19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D19" authorId="0">
      <text>
        <r>
          <rPr>
            <b/>
            <sz val="8"/>
            <color indexed="81"/>
            <rFont val="Tahoma"/>
          </rPr>
          <t>This is half (1/2) of your lower link horizontal separation at the frame</t>
        </r>
      </text>
    </comment>
    <comment ref="E19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C20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D20" authorId="0">
      <text>
        <r>
          <rPr>
            <b/>
            <sz val="8"/>
            <color indexed="81"/>
            <rFont val="Tahoma"/>
          </rPr>
          <t>This is half (1/2) of your lower link horizontal separation at the axle end</t>
        </r>
      </text>
    </comment>
    <comment ref="E20" authorId="0">
      <text>
        <r>
          <rPr>
            <b/>
            <sz val="8"/>
            <color indexed="81"/>
            <rFont val="Tahoma"/>
          </rPr>
          <t>Height from ground</t>
        </r>
      </text>
    </comment>
  </commentList>
</comments>
</file>

<file path=xl/sharedStrings.xml><?xml version="1.0" encoding="utf-8"?>
<sst xmlns="http://schemas.openxmlformats.org/spreadsheetml/2006/main" count="527" uniqueCount="156">
  <si>
    <t>y</t>
  </si>
  <si>
    <t>x</t>
  </si>
  <si>
    <t>Wheelbase</t>
  </si>
  <si>
    <t>Tire Diameter</t>
  </si>
  <si>
    <t>Upper Links</t>
  </si>
  <si>
    <t>z</t>
  </si>
  <si>
    <t>Lower Links</t>
  </si>
  <si>
    <t>%</t>
  </si>
  <si>
    <t>Anti-Squat</t>
  </si>
  <si>
    <t>in/in</t>
  </si>
  <si>
    <t>in</t>
  </si>
  <si>
    <t>lb</t>
  </si>
  <si>
    <t>in^4</t>
  </si>
  <si>
    <t>Vector</t>
  </si>
  <si>
    <t>Unit Vector</t>
  </si>
  <si>
    <t>Intercept</t>
  </si>
  <si>
    <t>Roll Point</t>
  </si>
  <si>
    <t>Forces</t>
  </si>
  <si>
    <t>Link Force</t>
  </si>
  <si>
    <t>F.S. Yield</t>
  </si>
  <si>
    <t>F.S. Buckling</t>
  </si>
  <si>
    <t>F.S. Bending</t>
  </si>
  <si>
    <t>Rod End Rated Load</t>
  </si>
  <si>
    <t>F.S. Rod End</t>
  </si>
  <si>
    <t>Frame End</t>
  </si>
  <si>
    <t>Axle End</t>
  </si>
  <si>
    <t>Area</t>
  </si>
  <si>
    <t>Pbending</t>
  </si>
  <si>
    <t>Pyield</t>
  </si>
  <si>
    <t>Pbuckling</t>
  </si>
  <si>
    <t>in^2</t>
  </si>
  <si>
    <t>= Mess with these cells</t>
  </si>
  <si>
    <t>Instant Center X-Axis</t>
  </si>
  <si>
    <t>Vehicle Specifications:</t>
  </si>
  <si>
    <t>Suspension Geometry:</t>
  </si>
  <si>
    <t>Material Selection:</t>
  </si>
  <si>
    <t>Material Used</t>
  </si>
  <si>
    <t>Material Specifications:</t>
  </si>
  <si>
    <t>Elastic Modulus</t>
  </si>
  <si>
    <t>(psi)</t>
  </si>
  <si>
    <t>Yield</t>
  </si>
  <si>
    <t>Strength</t>
  </si>
  <si>
    <t>by</t>
  </si>
  <si>
    <t>Instant Center Z-Axis</t>
  </si>
  <si>
    <t>Link Length</t>
  </si>
  <si>
    <t>Cold Drawn</t>
  </si>
  <si>
    <t>Normalized</t>
  </si>
  <si>
    <t>Water Quenched and Tempered</t>
  </si>
  <si>
    <t>Oil Quenched &amp; Tempered</t>
  </si>
  <si>
    <t>Density</t>
  </si>
  <si>
    <t>(Lbs/in^3)</t>
  </si>
  <si>
    <t>Alum 6061-T6</t>
  </si>
  <si>
    <t>Alum 7075-T6</t>
  </si>
  <si>
    <t>Alum 2024-T6</t>
  </si>
  <si>
    <t>Titanium 6Al-4V</t>
  </si>
  <si>
    <t>6% Aluminum, 4% Vanadium</t>
  </si>
  <si>
    <t>Revision Control History</t>
  </si>
  <si>
    <t>Version</t>
  </si>
  <si>
    <t>Changes / Enhancements</t>
  </si>
  <si>
    <t>Date</t>
  </si>
  <si>
    <t>Corrections to the roll center calculation.</t>
  </si>
  <si>
    <t>Additional "unit" descriptors added.</t>
  </si>
  <si>
    <t>2003.12.05</t>
  </si>
  <si>
    <t>Link Weight</t>
  </si>
  <si>
    <t>Outside Diameter</t>
  </si>
  <si>
    <t>Wall Thickness</t>
  </si>
  <si>
    <t>Moment of Inertia</t>
  </si>
  <si>
    <t>Dan Barcroft</t>
  </si>
  <si>
    <t>Added Coordinate System Diagram Sheet</t>
  </si>
  <si>
    <t>Roll Axis Slope</t>
  </si>
  <si>
    <t>Roll Center Height</t>
  </si>
  <si>
    <t>Roll Axis Angle</t>
  </si>
  <si>
    <t>Front Tire</t>
  </si>
  <si>
    <t>Rear Tire</t>
  </si>
  <si>
    <t>IC Trace Lower</t>
  </si>
  <si>
    <t>IC Trace Upper</t>
  </si>
  <si>
    <t>Anti-Squat Line</t>
  </si>
  <si>
    <t>100% AS Line</t>
  </si>
  <si>
    <t>Side View</t>
  </si>
  <si>
    <t>Top View</t>
  </si>
  <si>
    <t>Roll Axis</t>
  </si>
  <si>
    <t>angle</t>
  </si>
  <si>
    <t>Added Graphical Display</t>
  </si>
  <si>
    <t>Flipped Coordinate System Drawing to Match Graphical Display</t>
  </si>
  <si>
    <t>2004.01.07</t>
  </si>
  <si>
    <t>Offset Up</t>
  </si>
  <si>
    <t>y'</t>
  </si>
  <si>
    <t>Tire Rolling Radius</t>
  </si>
  <si>
    <t>Geometry Summary:</t>
  </si>
  <si>
    <t>Horizontal Slope</t>
  </si>
  <si>
    <t>Vertical Slope</t>
  </si>
  <si>
    <t>Fixed Typos in comments</t>
  </si>
  <si>
    <t>Fixed Units in Material Specs</t>
  </si>
  <si>
    <t>Moved Cells and Removed Blank Lines</t>
  </si>
  <si>
    <t>Bump Travel</t>
  </si>
  <si>
    <r>
      <t>Length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>-Length</t>
    </r>
    <r>
      <rPr>
        <vertAlign val="subscript"/>
        <sz val="10"/>
        <rFont val="Arial"/>
        <family val="2"/>
      </rPr>
      <t>1</t>
    </r>
  </si>
  <si>
    <t>Modulus of Elasticity</t>
  </si>
  <si>
    <t>Yield Strength</t>
  </si>
  <si>
    <t>psi</t>
  </si>
  <si>
    <t>lbm/in^3</t>
  </si>
  <si>
    <r>
      <t>Length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>-Length</t>
    </r>
    <r>
      <rPr>
        <vertAlign val="subscript"/>
        <sz val="10"/>
        <rFont val="Arial"/>
        <family val="2"/>
      </rPr>
      <t>2</t>
    </r>
  </si>
  <si>
    <t>Static Geometry:</t>
  </si>
  <si>
    <t>Bump Geometry:</t>
  </si>
  <si>
    <t>Droop Geometry:</t>
  </si>
  <si>
    <t>Added Bump/Droop travel calculation sheet w/ macro</t>
  </si>
  <si>
    <t>Rearranged to make it less cluttered and more user friendly</t>
  </si>
  <si>
    <t>Rear Axle</t>
  </si>
  <si>
    <t>Steel 1018</t>
  </si>
  <si>
    <t>Steel 4130N</t>
  </si>
  <si>
    <t>Steel 4130T</t>
  </si>
  <si>
    <t>Steel 4340N</t>
  </si>
  <si>
    <t>Steel 4340T</t>
  </si>
  <si>
    <t>Length</t>
  </si>
  <si>
    <t>Force</t>
  </si>
  <si>
    <t>Force Vector</t>
  </si>
  <si>
    <t>Note: All materials must be in alphabetical order</t>
  </si>
  <si>
    <t xml:space="preserve">F.S. Bending </t>
  </si>
  <si>
    <t>= Reference</t>
  </si>
  <si>
    <t>Droop Travel</t>
  </si>
  <si>
    <t>Separation</t>
  </si>
  <si>
    <t>(link stretching)</t>
  </si>
  <si>
    <t>(link buckling under braking)</t>
  </si>
  <si>
    <t>(somewhat irrelevant for an UPPER link)</t>
  </si>
  <si>
    <t>(rod end breaking)</t>
  </si>
  <si>
    <t>(link compressing)</t>
  </si>
  <si>
    <t>(link buckling under acceleration)</t>
  </si>
  <si>
    <t>(link bending w/ 1/2 the vehicle weight on it)</t>
  </si>
  <si>
    <t>Vehicle CG Height</t>
  </si>
  <si>
    <t>Rear Unsprung Mass</t>
  </si>
  <si>
    <t xml:space="preserve"> Vehicle Mass</t>
  </si>
  <si>
    <t>Infinity</t>
  </si>
  <si>
    <t>2004.12.04</t>
  </si>
  <si>
    <t>Sprung Mass CG</t>
  </si>
  <si>
    <t>Anti-Squat CG</t>
  </si>
  <si>
    <t>Vehicle CG</t>
  </si>
  <si>
    <t>Created 2004.12.04</t>
  </si>
  <si>
    <t>Changed all calculations that used CG to Anti-Squat CG</t>
  </si>
  <si>
    <t>Added Calculation of Sprung Mass CG &amp; Anti-Squat CG (CG - rear axle)</t>
  </si>
  <si>
    <t>4 Bar Linkage Calculator v3.0</t>
  </si>
  <si>
    <t>Fixed Errors When Bars are Parallel</t>
  </si>
  <si>
    <t>Added Automatic Display of Roll Understeer/Oversteer</t>
  </si>
  <si>
    <t>Saved as Excel 5.0/97 File</t>
  </si>
  <si>
    <t>&amp; Greg Blanchette</t>
  </si>
  <si>
    <t>Pinion Yoke</t>
  </si>
  <si>
    <t>Y</t>
  </si>
  <si>
    <t>Output Yoke</t>
  </si>
  <si>
    <t>Front U-joint Angle</t>
  </si>
  <si>
    <t>Rear U-joint Angle</t>
  </si>
  <si>
    <t>Driveshaft Angle</t>
  </si>
  <si>
    <t>Change In Length</t>
  </si>
  <si>
    <t>Front Unsprung Mass</t>
  </si>
  <si>
    <t>Added driveshaft angle and plung calculations (not completed!)</t>
  </si>
  <si>
    <t>Fixed Anti-Squat CG Height Calculation</t>
  </si>
  <si>
    <t>2005.04.01</t>
  </si>
  <si>
    <r>
      <t xml:space="preserve">Driveshaft: </t>
    </r>
    <r>
      <rPr>
        <b/>
        <sz val="12"/>
        <color indexed="10"/>
        <rFont val="Arial"/>
        <family val="2"/>
      </rPr>
      <t>This Does Not Work Yet!!!</t>
    </r>
  </si>
  <si>
    <t>3.0c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</si>
</sst>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.0"/>
    <numFmt numFmtId="165" formatCode="0.000"/>
    <numFmt numFmtId="166" formatCode="0.0000"/>
    <numFmt numFmtId="170" formatCode="#,##0.000"/>
    <numFmt numFmtId="171" formatCode="#,##0.0"/>
    <numFmt numFmtId="173" formatCode="_(* #,##0_);_(* \(#,##0\);_(* &quot;-&quot;??_);_(@_)"/>
    <numFmt numFmtId="174" formatCode="#,##0.0000"/>
  </numFmts>
  <fonts count="18">
    <font>
      <sz val="10"/>
      <name val="Arial"/>
    </font>
    <font>
      <sz val="10"/>
      <name val="Arial"/>
    </font>
    <font>
      <b/>
      <sz val="8"/>
      <color indexed="81"/>
      <name val="Tahoma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color indexed="8"/>
      <name val="Verdana"/>
      <family val="2"/>
    </font>
    <font>
      <b/>
      <u/>
      <sz val="12"/>
      <color indexed="9"/>
      <name val="Arial"/>
      <family val="2"/>
    </font>
    <font>
      <vertAlign val="subscript"/>
      <sz val="10"/>
      <name val="Arial"/>
      <family val="2"/>
    </font>
    <font>
      <b/>
      <sz val="10"/>
      <name val="Arial"/>
    </font>
    <font>
      <b/>
      <sz val="12"/>
      <color indexed="8"/>
      <name val="Verdana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9">
    <xf numFmtId="0" fontId="0" fillId="0" borderId="0" xfId="0"/>
    <xf numFmtId="4" fontId="3" fillId="0" borderId="0" xfId="0" applyNumberFormat="1" applyFont="1" applyAlignment="1" applyProtection="1">
      <alignment horizontal="right"/>
    </xf>
    <xf numFmtId="4" fontId="3" fillId="0" borderId="0" xfId="0" applyNumberFormat="1" applyFont="1" applyAlignment="1" applyProtection="1"/>
    <xf numFmtId="3" fontId="3" fillId="2" borderId="1" xfId="0" applyNumberFormat="1" applyFont="1" applyFill="1" applyBorder="1" applyAlignment="1" applyProtection="1">
      <alignment horizontal="right"/>
      <protection locked="0"/>
    </xf>
    <xf numFmtId="170" fontId="3" fillId="2" borderId="1" xfId="0" applyNumberFormat="1" applyFont="1" applyFill="1" applyBorder="1" applyAlignment="1" applyProtection="1">
      <alignment horizontal="right"/>
      <protection locked="0"/>
    </xf>
    <xf numFmtId="4" fontId="3" fillId="0" borderId="0" xfId="0" applyNumberFormat="1" applyFont="1" applyFill="1" applyBorder="1" applyAlignment="1" applyProtection="1"/>
    <xf numFmtId="4" fontId="3" fillId="0" borderId="2" xfId="0" applyNumberFormat="1" applyFont="1" applyBorder="1" applyAlignment="1" applyProtection="1"/>
    <xf numFmtId="4" fontId="3" fillId="0" borderId="2" xfId="0" applyNumberFormat="1" applyFont="1" applyBorder="1" applyProtection="1"/>
    <xf numFmtId="4" fontId="3" fillId="0" borderId="0" xfId="0" applyNumberFormat="1" applyFont="1" applyFill="1" applyBorder="1" applyAlignment="1" applyProtection="1">
      <alignment horizontal="left"/>
    </xf>
    <xf numFmtId="4" fontId="3" fillId="0" borderId="0" xfId="0" applyNumberFormat="1" applyFont="1" applyBorder="1" applyAlignment="1" applyProtection="1">
      <alignment horizontal="right"/>
    </xf>
    <xf numFmtId="4" fontId="3" fillId="0" borderId="0" xfId="0" applyNumberFormat="1" applyFont="1" applyBorder="1" applyAlignment="1" applyProtection="1"/>
    <xf numFmtId="4" fontId="3" fillId="0" borderId="0" xfId="0" applyNumberFormat="1" applyFont="1" applyBorder="1" applyProtection="1"/>
    <xf numFmtId="4" fontId="3" fillId="0" borderId="3" xfId="0" applyNumberFormat="1" applyFont="1" applyBorder="1" applyAlignment="1" applyProtection="1"/>
    <xf numFmtId="4" fontId="3" fillId="0" borderId="4" xfId="0" applyNumberFormat="1" applyFont="1" applyBorder="1" applyAlignment="1" applyProtection="1"/>
    <xf numFmtId="4" fontId="3" fillId="0" borderId="5" xfId="0" applyNumberFormat="1" applyFont="1" applyBorder="1" applyAlignment="1" applyProtection="1">
      <alignment horizontal="right"/>
    </xf>
    <xf numFmtId="4" fontId="3" fillId="0" borderId="0" xfId="0" applyNumberFormat="1" applyFont="1" applyBorder="1" applyAlignment="1" applyProtection="1">
      <alignment horizontal="left"/>
    </xf>
    <xf numFmtId="4" fontId="3" fillId="0" borderId="5" xfId="0" applyNumberFormat="1" applyFont="1" applyFill="1" applyBorder="1" applyAlignment="1" applyProtection="1">
      <alignment horizontal="right"/>
    </xf>
    <xf numFmtId="4" fontId="3" fillId="0" borderId="0" xfId="0" applyNumberFormat="1" applyFont="1" applyBorder="1" applyAlignment="1" applyProtection="1">
      <alignment horizontal="center"/>
    </xf>
    <xf numFmtId="4" fontId="3" fillId="0" borderId="6" xfId="0" applyNumberFormat="1" applyFont="1" applyBorder="1" applyAlignment="1" applyProtection="1">
      <alignment horizontal="right"/>
    </xf>
    <xf numFmtId="4" fontId="3" fillId="0" borderId="0" xfId="0" quotePrefix="1" applyNumberFormat="1" applyFont="1" applyFill="1" applyBorder="1" applyAlignment="1" applyProtection="1">
      <alignment horizontal="right"/>
    </xf>
    <xf numFmtId="4" fontId="3" fillId="0" borderId="1" xfId="0" applyNumberFormat="1" applyFont="1" applyFill="1" applyBorder="1" applyAlignment="1" applyProtection="1">
      <alignment horizontal="right"/>
    </xf>
    <xf numFmtId="0" fontId="0" fillId="3" borderId="0" xfId="0" applyFill="1"/>
    <xf numFmtId="0" fontId="11" fillId="3" borderId="0" xfId="0" applyFont="1" applyFill="1" applyAlignment="1">
      <alignment wrapText="1"/>
    </xf>
    <xf numFmtId="0" fontId="0" fillId="3" borderId="0" xfId="0" applyFill="1" applyAlignment="1">
      <alignment horizontal="left"/>
    </xf>
    <xf numFmtId="166" fontId="3" fillId="0" borderId="0" xfId="0" applyNumberFormat="1" applyFont="1" applyFill="1" applyBorder="1" applyAlignment="1" applyProtection="1">
      <alignment horizontal="left"/>
    </xf>
    <xf numFmtId="166" fontId="3" fillId="0" borderId="0" xfId="0" applyNumberFormat="1" applyFont="1" applyFill="1" applyBorder="1" applyAlignment="1" applyProtection="1">
      <alignment horizontal="right"/>
    </xf>
    <xf numFmtId="166" fontId="3" fillId="0" borderId="3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/>
    <xf numFmtId="3" fontId="3" fillId="0" borderId="2" xfId="0" applyNumberFormat="1" applyFont="1" applyFill="1" applyBorder="1" applyAlignment="1" applyProtection="1">
      <alignment horizontal="right"/>
    </xf>
    <xf numFmtId="166" fontId="3" fillId="0" borderId="2" xfId="0" applyNumberFormat="1" applyFont="1" applyFill="1" applyBorder="1" applyAlignment="1" applyProtection="1">
      <alignment horizontal="right"/>
    </xf>
    <xf numFmtId="166" fontId="3" fillId="0" borderId="5" xfId="0" applyNumberFormat="1" applyFont="1" applyFill="1" applyBorder="1" applyAlignment="1" applyProtection="1">
      <alignment horizontal="right"/>
    </xf>
    <xf numFmtId="4" fontId="5" fillId="0" borderId="2" xfId="0" applyNumberFormat="1" applyFont="1" applyBorder="1" applyAlignment="1" applyProtection="1">
      <alignment horizontal="left"/>
    </xf>
    <xf numFmtId="4" fontId="3" fillId="2" borderId="0" xfId="0" applyNumberFormat="1" applyFont="1" applyFill="1" applyBorder="1" applyAlignment="1" applyProtection="1">
      <protection locked="0"/>
    </xf>
    <xf numFmtId="4" fontId="5" fillId="0" borderId="0" xfId="0" applyNumberFormat="1" applyFont="1" applyBorder="1" applyAlignment="1" applyProtection="1">
      <alignment horizontal="left"/>
    </xf>
    <xf numFmtId="4" fontId="3" fillId="2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/>
    </xf>
    <xf numFmtId="174" fontId="3" fillId="0" borderId="0" xfId="0" applyNumberFormat="1" applyFont="1" applyFill="1" applyBorder="1" applyAlignment="1" applyProtection="1">
      <alignment horizontal="right"/>
    </xf>
    <xf numFmtId="4" fontId="12" fillId="4" borderId="7" xfId="0" applyNumberFormat="1" applyFont="1" applyFill="1" applyBorder="1" applyAlignment="1" applyProtection="1">
      <alignment horizontal="right"/>
    </xf>
    <xf numFmtId="166" fontId="3" fillId="0" borderId="8" xfId="0" applyNumberFormat="1" applyFont="1" applyFill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left"/>
    </xf>
    <xf numFmtId="4" fontId="3" fillId="0" borderId="3" xfId="0" quotePrefix="1" applyNumberFormat="1" applyFont="1" applyFill="1" applyBorder="1" applyAlignment="1" applyProtection="1">
      <alignment horizontal="right"/>
    </xf>
    <xf numFmtId="4" fontId="3" fillId="0" borderId="3" xfId="0" applyNumberFormat="1" applyFont="1" applyBorder="1" applyProtection="1"/>
    <xf numFmtId="4" fontId="3" fillId="0" borderId="3" xfId="0" applyNumberFormat="1" applyFont="1" applyFill="1" applyBorder="1" applyAlignment="1" applyProtection="1">
      <alignment horizontal="left"/>
    </xf>
    <xf numFmtId="4" fontId="6" fillId="0" borderId="3" xfId="0" applyNumberFormat="1" applyFont="1" applyBorder="1" applyAlignment="1" applyProtection="1">
      <alignment horizontal="left"/>
    </xf>
    <xf numFmtId="4" fontId="6" fillId="0" borderId="3" xfId="0" applyNumberFormat="1" applyFont="1" applyBorder="1" applyAlignment="1" applyProtection="1"/>
    <xf numFmtId="4" fontId="6" fillId="0" borderId="4" xfId="0" applyNumberFormat="1" applyFont="1" applyBorder="1" applyAlignment="1" applyProtection="1"/>
    <xf numFmtId="4" fontId="12" fillId="5" borderId="7" xfId="0" applyNumberFormat="1" applyFont="1" applyFill="1" applyBorder="1" applyAlignment="1" applyProtection="1">
      <alignment horizontal="right"/>
    </xf>
    <xf numFmtId="4" fontId="3" fillId="0" borderId="9" xfId="0" applyNumberFormat="1" applyFont="1" applyFill="1" applyBorder="1" applyAlignment="1" applyProtection="1">
      <alignment horizontal="right"/>
    </xf>
    <xf numFmtId="4" fontId="3" fillId="0" borderId="8" xfId="0" applyNumberFormat="1" applyFont="1" applyFill="1" applyBorder="1" applyAlignment="1" applyProtection="1">
      <alignment horizontal="right"/>
    </xf>
    <xf numFmtId="166" fontId="3" fillId="0" borderId="9" xfId="0" applyNumberFormat="1" applyFont="1" applyFill="1" applyBorder="1" applyAlignment="1" applyProtection="1">
      <alignment horizontal="left"/>
    </xf>
    <xf numFmtId="4" fontId="12" fillId="5" borderId="5" xfId="0" applyNumberFormat="1" applyFont="1" applyFill="1" applyBorder="1" applyAlignment="1" applyProtection="1">
      <alignment horizontal="right"/>
    </xf>
    <xf numFmtId="3" fontId="3" fillId="6" borderId="9" xfId="0" applyNumberFormat="1" applyFont="1" applyFill="1" applyBorder="1" applyAlignment="1" applyProtection="1">
      <alignment horizontal="right"/>
    </xf>
    <xf numFmtId="3" fontId="3" fillId="6" borderId="0" xfId="0" applyNumberFormat="1" applyFont="1" applyFill="1" applyBorder="1" applyAlignment="1" applyProtection="1">
      <alignment horizontal="right"/>
    </xf>
    <xf numFmtId="166" fontId="3" fillId="6" borderId="1" xfId="0" applyNumberFormat="1" applyFont="1" applyFill="1" applyBorder="1" applyAlignment="1" applyProtection="1">
      <alignment horizontal="right"/>
    </xf>
    <xf numFmtId="170" fontId="3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Border="1" applyAlignment="1" applyProtection="1">
      <alignment horizontal="left"/>
    </xf>
    <xf numFmtId="4" fontId="3" fillId="0" borderId="0" xfId="0" quotePrefix="1" applyNumberFormat="1" applyFont="1" applyBorder="1" applyAlignment="1" applyProtection="1">
      <alignment horizontal="left" wrapText="1"/>
    </xf>
    <xf numFmtId="4" fontId="3" fillId="0" borderId="0" xfId="0" quotePrefix="1" applyNumberFormat="1" applyFont="1" applyBorder="1" applyAlignment="1" applyProtection="1"/>
    <xf numFmtId="4" fontId="3" fillId="0" borderId="8" xfId="0" applyNumberFormat="1" applyFont="1" applyBorder="1" applyAlignment="1" applyProtection="1"/>
    <xf numFmtId="4" fontId="3" fillId="0" borderId="9" xfId="0" applyNumberFormat="1" applyFont="1" applyBorder="1" applyProtection="1"/>
    <xf numFmtId="4" fontId="3" fillId="0" borderId="8" xfId="0" applyNumberFormat="1" applyFont="1" applyBorder="1" applyProtection="1"/>
    <xf numFmtId="4" fontId="3" fillId="0" borderId="4" xfId="0" applyNumberFormat="1" applyFont="1" applyBorder="1" applyAlignment="1" applyProtection="1">
      <alignment horizontal="left"/>
    </xf>
    <xf numFmtId="4" fontId="5" fillId="0" borderId="5" xfId="0" applyNumberFormat="1" applyFont="1" applyBorder="1" applyAlignment="1" applyProtection="1">
      <alignment horizontal="left"/>
    </xf>
    <xf numFmtId="4" fontId="3" fillId="0" borderId="9" xfId="0" applyNumberFormat="1" applyFont="1" applyBorder="1" applyAlignment="1" applyProtection="1">
      <alignment horizontal="center"/>
    </xf>
    <xf numFmtId="4" fontId="3" fillId="0" borderId="8" xfId="0" applyNumberFormat="1" applyFont="1" applyBorder="1" applyAlignment="1" applyProtection="1">
      <alignment horizontal="left"/>
    </xf>
    <xf numFmtId="3" fontId="3" fillId="6" borderId="1" xfId="0" applyNumberFormat="1" applyFont="1" applyFill="1" applyBorder="1" applyAlignment="1" applyProtection="1">
      <alignment horizontal="right"/>
    </xf>
    <xf numFmtId="2" fontId="0" fillId="3" borderId="6" xfId="0" applyNumberFormat="1" applyFill="1" applyBorder="1" applyAlignment="1">
      <alignment horizontal="left"/>
    </xf>
    <xf numFmtId="2" fontId="0" fillId="3" borderId="4" xfId="0" applyNumberFormat="1" applyFill="1" applyBorder="1" applyAlignment="1">
      <alignment horizontal="left"/>
    </xf>
    <xf numFmtId="2" fontId="0" fillId="3" borderId="5" xfId="0" applyNumberFormat="1" applyFill="1" applyBorder="1" applyAlignment="1">
      <alignment horizontal="left"/>
    </xf>
    <xf numFmtId="2" fontId="0" fillId="3" borderId="3" xfId="0" applyNumberFormat="1" applyFill="1" applyBorder="1" applyAlignment="1">
      <alignment horizontal="left"/>
    </xf>
    <xf numFmtId="4" fontId="7" fillId="0" borderId="0" xfId="0" applyNumberFormat="1" applyFont="1" applyBorder="1" applyAlignment="1" applyProtection="1">
      <alignment horizontal="left"/>
      <protection locked="0"/>
    </xf>
    <xf numFmtId="3" fontId="3" fillId="6" borderId="0" xfId="0" applyNumberFormat="1" applyFont="1" applyFill="1" applyBorder="1" applyAlignment="1" applyProtection="1"/>
    <xf numFmtId="4" fontId="3" fillId="2" borderId="0" xfId="0" applyNumberFormat="1" applyFont="1" applyFill="1" applyBorder="1" applyAlignment="1" applyProtection="1">
      <alignment horizontal="center"/>
      <protection locked="0"/>
    </xf>
    <xf numFmtId="3" fontId="3" fillId="2" borderId="0" xfId="0" applyNumberFormat="1" applyFont="1" applyFill="1" applyBorder="1" applyAlignment="1" applyProtection="1">
      <alignment horizontal="right"/>
      <protection locked="0"/>
    </xf>
    <xf numFmtId="4" fontId="3" fillId="0" borderId="7" xfId="0" applyNumberFormat="1" applyFont="1" applyBorder="1" applyAlignment="1" applyProtection="1">
      <alignment horizontal="right"/>
    </xf>
    <xf numFmtId="171" fontId="3" fillId="2" borderId="9" xfId="0" applyNumberFormat="1" applyFont="1" applyFill="1" applyBorder="1" applyAlignment="1" applyProtection="1">
      <alignment horizontal="right"/>
      <protection locked="0"/>
    </xf>
    <xf numFmtId="4" fontId="3" fillId="2" borderId="2" xfId="0" applyNumberFormat="1" applyFont="1" applyFill="1" applyBorder="1" applyAlignment="1" applyProtection="1">
      <alignment horizontal="center"/>
      <protection locked="0"/>
    </xf>
    <xf numFmtId="3" fontId="3" fillId="7" borderId="9" xfId="0" applyNumberFormat="1" applyFont="1" applyFill="1" applyBorder="1" applyAlignment="1" applyProtection="1"/>
    <xf numFmtId="3" fontId="3" fillId="8" borderId="0" xfId="0" applyNumberFormat="1" applyFont="1" applyFill="1" applyBorder="1" applyAlignment="1" applyProtection="1"/>
    <xf numFmtId="4" fontId="3" fillId="0" borderId="6" xfId="0" applyNumberFormat="1" applyFont="1" applyBorder="1" applyAlignment="1" applyProtection="1"/>
    <xf numFmtId="0" fontId="3" fillId="0" borderId="5" xfId="0" applyNumberFormat="1" applyFont="1" applyBorder="1" applyAlignment="1" applyProtection="1">
      <alignment horizontal="right"/>
    </xf>
    <xf numFmtId="4" fontId="3" fillId="3" borderId="0" xfId="0" applyNumberFormat="1" applyFont="1" applyFill="1" applyBorder="1" applyAlignment="1" applyProtection="1">
      <alignment horizontal="center"/>
    </xf>
    <xf numFmtId="4" fontId="7" fillId="3" borderId="0" xfId="0" applyNumberFormat="1" applyFont="1" applyFill="1" applyBorder="1" applyAlignment="1" applyProtection="1">
      <alignment horizontal="left"/>
    </xf>
    <xf numFmtId="165" fontId="3" fillId="0" borderId="9" xfId="0" applyNumberFormat="1" applyFont="1" applyBorder="1" applyAlignment="1" applyProtection="1">
      <alignment horizontal="center"/>
    </xf>
    <xf numFmtId="165" fontId="3" fillId="0" borderId="8" xfId="0" applyNumberFormat="1" applyFont="1" applyBorder="1" applyAlignment="1" applyProtection="1">
      <alignment horizontal="left"/>
    </xf>
    <xf numFmtId="165" fontId="3" fillId="0" borderId="0" xfId="0" applyNumberFormat="1" applyFont="1" applyBorder="1" applyAlignment="1" applyProtection="1">
      <alignment horizontal="right"/>
    </xf>
    <xf numFmtId="165" fontId="12" fillId="4" borderId="7" xfId="0" applyNumberFormat="1" applyFont="1" applyFill="1" applyBorder="1" applyAlignment="1" applyProtection="1">
      <alignment horizontal="right"/>
    </xf>
    <xf numFmtId="165" fontId="3" fillId="0" borderId="8" xfId="0" applyNumberFormat="1" applyFont="1" applyFill="1" applyBorder="1" applyAlignment="1" applyProtection="1">
      <alignment horizontal="left"/>
    </xf>
    <xf numFmtId="165" fontId="3" fillId="0" borderId="0" xfId="0" applyNumberFormat="1" applyFont="1" applyFill="1" applyBorder="1" applyAlignment="1" applyProtection="1">
      <alignment horizontal="left"/>
    </xf>
    <xf numFmtId="165" fontId="3" fillId="0" borderId="3" xfId="0" applyNumberFormat="1" applyFont="1" applyBorder="1" applyAlignment="1" applyProtection="1">
      <alignment horizontal="left"/>
    </xf>
    <xf numFmtId="165" fontId="3" fillId="0" borderId="5" xfId="0" applyNumberFormat="1" applyFont="1" applyBorder="1" applyAlignment="1" applyProtection="1">
      <alignment horizontal="right"/>
    </xf>
    <xf numFmtId="165" fontId="3" fillId="0" borderId="0" xfId="0" applyNumberFormat="1" applyFont="1" applyFill="1" applyBorder="1" applyAlignment="1" applyProtection="1">
      <alignment horizontal="center"/>
    </xf>
    <xf numFmtId="165" fontId="3" fillId="0" borderId="0" xfId="0" applyNumberFormat="1" applyFont="1" applyFill="1" applyBorder="1" applyAlignment="1" applyProtection="1">
      <alignment horizontal="right"/>
    </xf>
    <xf numFmtId="165" fontId="3" fillId="0" borderId="5" xfId="0" applyNumberFormat="1" applyFont="1" applyFill="1" applyBorder="1" applyAlignment="1" applyProtection="1">
      <alignment horizontal="right"/>
    </xf>
    <xf numFmtId="165" fontId="3" fillId="0" borderId="0" xfId="0" applyNumberFormat="1" applyFont="1" applyBorder="1" applyAlignment="1" applyProtection="1"/>
    <xf numFmtId="165" fontId="3" fillId="0" borderId="0" xfId="0" applyNumberFormat="1" applyFont="1" applyFill="1" applyBorder="1" applyAlignment="1" applyProtection="1"/>
    <xf numFmtId="165" fontId="6" fillId="0" borderId="0" xfId="0" applyNumberFormat="1" applyFont="1" applyBorder="1" applyAlignment="1" applyProtection="1">
      <alignment horizontal="left"/>
    </xf>
    <xf numFmtId="165" fontId="3" fillId="0" borderId="0" xfId="0" applyNumberFormat="1" applyFont="1" applyBorder="1" applyAlignment="1" applyProtection="1">
      <alignment horizontal="center"/>
    </xf>
    <xf numFmtId="165" fontId="3" fillId="0" borderId="3" xfId="0" applyNumberFormat="1" applyFont="1" applyBorder="1" applyAlignment="1" applyProtection="1"/>
    <xf numFmtId="165" fontId="12" fillId="5" borderId="5" xfId="0" applyNumberFormat="1" applyFont="1" applyFill="1" applyBorder="1" applyAlignment="1" applyProtection="1">
      <alignment horizontal="right"/>
    </xf>
    <xf numFmtId="165" fontId="5" fillId="0" borderId="5" xfId="0" applyNumberFormat="1" applyFont="1" applyBorder="1" applyAlignment="1" applyProtection="1">
      <alignment horizontal="left"/>
    </xf>
    <xf numFmtId="165" fontId="3" fillId="0" borderId="1" xfId="0" applyNumberFormat="1" applyFont="1" applyFill="1" applyBorder="1" applyAlignment="1" applyProtection="1"/>
    <xf numFmtId="165" fontId="3" fillId="0" borderId="0" xfId="0" applyNumberFormat="1" applyFont="1" applyBorder="1" applyProtection="1"/>
    <xf numFmtId="165" fontId="3" fillId="0" borderId="3" xfId="0" applyNumberFormat="1" applyFont="1" applyBorder="1" applyProtection="1"/>
    <xf numFmtId="165" fontId="3" fillId="0" borderId="2" xfId="0" applyNumberFormat="1" applyFont="1" applyBorder="1" applyAlignment="1" applyProtection="1"/>
    <xf numFmtId="165" fontId="3" fillId="0" borderId="4" xfId="0" applyNumberFormat="1" applyFont="1" applyBorder="1" applyAlignment="1" applyProtection="1"/>
    <xf numFmtId="165" fontId="3" fillId="0" borderId="6" xfId="0" applyNumberFormat="1" applyFont="1" applyBorder="1" applyAlignment="1" applyProtection="1">
      <alignment horizontal="right"/>
    </xf>
    <xf numFmtId="166" fontId="3" fillId="0" borderId="0" xfId="0" applyNumberFormat="1" applyFont="1" applyBorder="1" applyAlignment="1" applyProtection="1">
      <alignment horizontal="right"/>
    </xf>
    <xf numFmtId="166" fontId="3" fillId="0" borderId="0" xfId="0" applyNumberFormat="1" applyFont="1" applyBorder="1" applyAlignment="1" applyProtection="1"/>
    <xf numFmtId="166" fontId="3" fillId="0" borderId="3" xfId="0" applyNumberFormat="1" applyFont="1" applyBorder="1" applyAlignment="1" applyProtection="1">
      <alignment horizontal="left"/>
    </xf>
    <xf numFmtId="166" fontId="3" fillId="0" borderId="0" xfId="0" applyNumberFormat="1" applyFont="1" applyFill="1" applyBorder="1" applyAlignment="1" applyProtection="1"/>
    <xf numFmtId="166" fontId="3" fillId="0" borderId="6" xfId="0" applyNumberFormat="1" applyFont="1" applyFill="1" applyBorder="1" applyAlignment="1" applyProtection="1">
      <alignment horizontal="right"/>
    </xf>
    <xf numFmtId="166" fontId="3" fillId="0" borderId="2" xfId="0" applyNumberFormat="1" applyFont="1" applyFill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left"/>
    </xf>
    <xf numFmtId="165" fontId="3" fillId="0" borderId="0" xfId="0" quotePrefix="1" applyNumberFormat="1" applyFont="1" applyBorder="1" applyAlignment="1" applyProtection="1">
      <alignment horizontal="left" wrapText="1"/>
    </xf>
    <xf numFmtId="165" fontId="3" fillId="6" borderId="0" xfId="0" applyNumberFormat="1" applyFont="1" applyFill="1" applyBorder="1" applyAlignment="1" applyProtection="1"/>
    <xf numFmtId="165" fontId="3" fillId="0" borderId="0" xfId="0" quotePrefix="1" applyNumberFormat="1" applyFont="1" applyBorder="1" applyAlignment="1" applyProtection="1"/>
    <xf numFmtId="165" fontId="5" fillId="0" borderId="0" xfId="0" applyNumberFormat="1" applyFont="1" applyBorder="1" applyAlignment="1" applyProtection="1">
      <alignment horizontal="left"/>
    </xf>
    <xf numFmtId="165" fontId="3" fillId="6" borderId="0" xfId="0" applyNumberFormat="1" applyFont="1" applyFill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left"/>
    </xf>
    <xf numFmtId="165" fontId="3" fillId="0" borderId="6" xfId="0" applyNumberFormat="1" applyFont="1" applyFill="1" applyBorder="1" applyAlignment="1" applyProtection="1">
      <alignment horizontal="right"/>
    </xf>
    <xf numFmtId="165" fontId="3" fillId="0" borderId="2" xfId="0" applyNumberFormat="1" applyFont="1" applyFill="1" applyBorder="1" applyAlignment="1" applyProtection="1"/>
    <xf numFmtId="165" fontId="3" fillId="0" borderId="2" xfId="0" applyNumberFormat="1" applyFont="1" applyFill="1" applyBorder="1" applyAlignment="1" applyProtection="1">
      <alignment horizontal="left"/>
    </xf>
    <xf numFmtId="165" fontId="3" fillId="0" borderId="2" xfId="0" applyNumberFormat="1" applyFont="1" applyFill="1" applyBorder="1" applyAlignment="1" applyProtection="1">
      <alignment horizontal="right"/>
    </xf>
    <xf numFmtId="165" fontId="3" fillId="0" borderId="4" xfId="0" applyNumberFormat="1" applyFont="1" applyBorder="1" applyAlignment="1" applyProtection="1">
      <alignment horizontal="left"/>
    </xf>
    <xf numFmtId="165" fontId="12" fillId="5" borderId="7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165" fontId="3" fillId="0" borderId="7" xfId="0" applyNumberFormat="1" applyFont="1" applyBorder="1" applyAlignment="1" applyProtection="1">
      <alignment horizontal="right"/>
    </xf>
    <xf numFmtId="165" fontId="3" fillId="0" borderId="9" xfId="0" applyNumberFormat="1" applyFont="1" applyFill="1" applyBorder="1" applyAlignment="1" applyProtection="1"/>
    <xf numFmtId="165" fontId="3" fillId="0" borderId="9" xfId="0" applyNumberFormat="1" applyFont="1" applyBorder="1" applyProtection="1"/>
    <xf numFmtId="165" fontId="3" fillId="0" borderId="8" xfId="0" applyNumberFormat="1" applyFont="1" applyBorder="1" applyProtection="1"/>
    <xf numFmtId="166" fontId="3" fillId="0" borderId="2" xfId="0" applyNumberFormat="1" applyFont="1" applyFill="1" applyBorder="1" applyAlignment="1" applyProtection="1"/>
    <xf numFmtId="166" fontId="3" fillId="0" borderId="4" xfId="0" applyNumberFormat="1" applyFont="1" applyBorder="1" applyAlignment="1" applyProtection="1">
      <alignment horizontal="left"/>
    </xf>
    <xf numFmtId="166" fontId="3" fillId="0" borderId="0" xfId="0" applyNumberFormat="1" applyFont="1" applyBorder="1" applyProtection="1"/>
    <xf numFmtId="166" fontId="3" fillId="0" borderId="3" xfId="0" applyNumberFormat="1" applyFont="1" applyBorder="1" applyProtection="1"/>
    <xf numFmtId="165" fontId="3" fillId="6" borderId="1" xfId="0" applyNumberFormat="1" applyFont="1" applyFill="1" applyBorder="1" applyAlignment="1" applyProtection="1">
      <alignment horizontal="center"/>
    </xf>
    <xf numFmtId="165" fontId="3" fillId="0" borderId="1" xfId="0" applyNumberFormat="1" applyFont="1" applyFill="1" applyBorder="1" applyAlignment="1" applyProtection="1">
      <alignment horizontal="center"/>
    </xf>
    <xf numFmtId="4" fontId="3" fillId="2" borderId="0" xfId="0" applyNumberFormat="1" applyFont="1" applyFill="1" applyBorder="1" applyAlignment="1" applyProtection="1"/>
    <xf numFmtId="0" fontId="4" fillId="0" borderId="0" xfId="0" applyFont="1" applyProtection="1"/>
    <xf numFmtId="0" fontId="0" fillId="0" borderId="0" xfId="0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8" xfId="0" applyBorder="1" applyProtection="1"/>
    <xf numFmtId="0" fontId="0" fillId="0" borderId="5" xfId="0" applyBorder="1" applyProtection="1"/>
    <xf numFmtId="0" fontId="0" fillId="0" borderId="10" xfId="0" applyBorder="1" applyAlignment="1" applyProtection="1">
      <alignment horizontal="center"/>
    </xf>
    <xf numFmtId="0" fontId="0" fillId="0" borderId="0" xfId="0" applyBorder="1" applyProtection="1"/>
    <xf numFmtId="0" fontId="0" fillId="0" borderId="11" xfId="0" applyBorder="1" applyAlignment="1" applyProtection="1">
      <alignment horizontal="center"/>
    </xf>
    <xf numFmtId="0" fontId="0" fillId="2" borderId="5" xfId="0" applyFill="1" applyBorder="1" applyProtection="1">
      <protection locked="0"/>
    </xf>
    <xf numFmtId="173" fontId="0" fillId="2" borderId="0" xfId="1" applyNumberFormat="1" applyFont="1" applyFill="1" applyBorder="1" applyProtection="1">
      <protection locked="0"/>
    </xf>
    <xf numFmtId="166" fontId="0" fillId="2" borderId="0" xfId="0" applyNumberFormat="1" applyFill="1" applyBorder="1" applyAlignment="1" applyProtection="1">
      <alignment horizontal="center"/>
      <protection locked="0"/>
    </xf>
    <xf numFmtId="0" fontId="0" fillId="2" borderId="0" xfId="0" applyFill="1" applyBorder="1" applyProtection="1">
      <protection locked="0"/>
    </xf>
    <xf numFmtId="4" fontId="3" fillId="2" borderId="3" xfId="0" applyNumberFormat="1" applyFont="1" applyFill="1" applyBorder="1" applyAlignment="1" applyProtection="1">
      <protection locked="0"/>
    </xf>
    <xf numFmtId="0" fontId="0" fillId="2" borderId="5" xfId="0" applyFill="1" applyBorder="1" applyAlignment="1" applyProtection="1">
      <alignment horizontal="left"/>
      <protection locked="0"/>
    </xf>
    <xf numFmtId="4" fontId="3" fillId="2" borderId="5" xfId="0" applyNumberFormat="1" applyFont="1" applyFill="1" applyBorder="1" applyAlignment="1" applyProtection="1">
      <alignment horizontal="right"/>
      <protection locked="0"/>
    </xf>
    <xf numFmtId="4" fontId="3" fillId="2" borderId="3" xfId="0" applyNumberFormat="1" applyFont="1" applyFill="1" applyBorder="1" applyAlignment="1" applyProtection="1">
      <alignment horizontal="right"/>
      <protection locked="0"/>
    </xf>
    <xf numFmtId="4" fontId="3" fillId="2" borderId="6" xfId="0" applyNumberFormat="1" applyFont="1" applyFill="1" applyBorder="1" applyAlignment="1" applyProtection="1">
      <alignment horizontal="right"/>
      <protection locked="0"/>
    </xf>
    <xf numFmtId="4" fontId="3" fillId="2" borderId="2" xfId="0" applyNumberFormat="1" applyFont="1" applyFill="1" applyBorder="1" applyAlignment="1" applyProtection="1">
      <alignment horizontal="right"/>
      <protection locked="0"/>
    </xf>
    <xf numFmtId="4" fontId="3" fillId="2" borderId="2" xfId="0" applyNumberFormat="1" applyFont="1" applyFill="1" applyBorder="1" applyAlignment="1" applyProtection="1">
      <protection locked="0"/>
    </xf>
    <xf numFmtId="4" fontId="3" fillId="2" borderId="4" xfId="0" applyNumberFormat="1" applyFont="1" applyFill="1" applyBorder="1" applyAlignment="1" applyProtection="1">
      <alignment horizontal="right"/>
      <protection locked="0"/>
    </xf>
    <xf numFmtId="0" fontId="0" fillId="3" borderId="0" xfId="0" applyFill="1" applyProtection="1"/>
    <xf numFmtId="0" fontId="0" fillId="3" borderId="0" xfId="0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10" fillId="3" borderId="12" xfId="0" applyFont="1" applyFill="1" applyBorder="1" applyAlignment="1" applyProtection="1">
      <alignment horizontal="left"/>
    </xf>
    <xf numFmtId="0" fontId="10" fillId="3" borderId="12" xfId="0" applyFont="1" applyFill="1" applyBorder="1" applyProtection="1"/>
    <xf numFmtId="0" fontId="0" fillId="3" borderId="0" xfId="0" applyFill="1" applyBorder="1" applyAlignment="1" applyProtection="1">
      <alignment horizontal="left"/>
    </xf>
    <xf numFmtId="0" fontId="0" fillId="3" borderId="0" xfId="0" applyFill="1" applyBorder="1" applyProtection="1"/>
    <xf numFmtId="0" fontId="4" fillId="3" borderId="2" xfId="0" applyFont="1" applyFill="1" applyBorder="1" applyAlignment="1" applyProtection="1">
      <alignment horizontal="left"/>
    </xf>
    <xf numFmtId="0" fontId="9" fillId="3" borderId="2" xfId="0" applyFont="1" applyFill="1" applyBorder="1" applyProtection="1"/>
    <xf numFmtId="0" fontId="0" fillId="3" borderId="2" xfId="0" applyFill="1" applyBorder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0" fontId="9" fillId="3" borderId="13" xfId="0" applyFont="1" applyFill="1" applyBorder="1" applyProtection="1"/>
    <xf numFmtId="0" fontId="9" fillId="3" borderId="9" xfId="0" applyFont="1" applyFill="1" applyBorder="1" applyProtection="1"/>
    <xf numFmtId="0" fontId="9" fillId="3" borderId="0" xfId="0" applyFont="1" applyFill="1" applyProtection="1"/>
    <xf numFmtId="4" fontId="3" fillId="0" borderId="0" xfId="0" applyNumberFormat="1" applyFont="1" applyAlignment="1" applyProtection="1">
      <alignment horizontal="left"/>
    </xf>
    <xf numFmtId="166" fontId="3" fillId="0" borderId="1" xfId="0" applyNumberFormat="1" applyFont="1" applyFill="1" applyBorder="1" applyAlignment="1" applyProtection="1"/>
    <xf numFmtId="4" fontId="3" fillId="0" borderId="7" xfId="0" applyNumberFormat="1" applyFont="1" applyFill="1" applyBorder="1" applyAlignment="1" applyProtection="1">
      <alignment horizontal="right"/>
    </xf>
    <xf numFmtId="3" fontId="3" fillId="6" borderId="5" xfId="0" applyNumberFormat="1" applyFont="1" applyFill="1" applyBorder="1" applyAlignment="1" applyProtection="1">
      <alignment horizontal="right"/>
    </xf>
    <xf numFmtId="174" fontId="3" fillId="0" borderId="5" xfId="0" applyNumberFormat="1" applyFont="1" applyFill="1" applyBorder="1" applyAlignment="1" applyProtection="1">
      <alignment horizontal="right"/>
    </xf>
    <xf numFmtId="170" fontId="3" fillId="0" borderId="5" xfId="0" applyNumberFormat="1" applyFont="1" applyFill="1" applyBorder="1" applyAlignment="1" applyProtection="1">
      <alignment horizontal="right"/>
    </xf>
    <xf numFmtId="3" fontId="3" fillId="0" borderId="5" xfId="0" applyNumberFormat="1" applyFont="1" applyFill="1" applyBorder="1" applyAlignment="1" applyProtection="1">
      <alignment horizontal="right"/>
    </xf>
    <xf numFmtId="165" fontId="3" fillId="0" borderId="3" xfId="0" applyNumberFormat="1" applyFont="1" applyFill="1" applyBorder="1" applyAlignment="1" applyProtection="1">
      <alignment horizontal="left"/>
    </xf>
    <xf numFmtId="2" fontId="0" fillId="3" borderId="0" xfId="0" applyNumberFormat="1" applyFill="1" applyAlignment="1">
      <alignment horizontal="left"/>
    </xf>
    <xf numFmtId="2" fontId="14" fillId="3" borderId="14" xfId="0" applyNumberFormat="1" applyFont="1" applyFill="1" applyBorder="1" applyAlignment="1">
      <alignment horizontal="left"/>
    </xf>
    <xf numFmtId="2" fontId="14" fillId="3" borderId="13" xfId="0" applyNumberFormat="1" applyFont="1" applyFill="1" applyBorder="1" applyAlignment="1">
      <alignment horizontal="left"/>
    </xf>
    <xf numFmtId="2" fontId="14" fillId="3" borderId="15" xfId="0" applyNumberFormat="1" applyFont="1" applyFill="1" applyBorder="1" applyAlignment="1">
      <alignment horizontal="left"/>
    </xf>
    <xf numFmtId="2" fontId="14" fillId="3" borderId="16" xfId="0" applyNumberFormat="1" applyFont="1" applyFill="1" applyBorder="1" applyAlignment="1">
      <alignment horizontal="left"/>
    </xf>
    <xf numFmtId="2" fontId="14" fillId="3" borderId="0" xfId="0" applyNumberFormat="1" applyFont="1" applyFill="1" applyAlignment="1">
      <alignment horizontal="left"/>
    </xf>
    <xf numFmtId="2" fontId="3" fillId="3" borderId="0" xfId="0" applyNumberFormat="1" applyFont="1" applyFill="1" applyBorder="1" applyAlignment="1" applyProtection="1">
      <alignment horizontal="center"/>
    </xf>
    <xf numFmtId="2" fontId="15" fillId="3" borderId="0" xfId="0" applyNumberFormat="1" applyFont="1" applyFill="1" applyAlignment="1">
      <alignment horizontal="left" wrapText="1"/>
    </xf>
    <xf numFmtId="2" fontId="0" fillId="3" borderId="7" xfId="0" applyNumberFormat="1" applyFill="1" applyBorder="1" applyAlignment="1">
      <alignment horizontal="left"/>
    </xf>
    <xf numFmtId="2" fontId="0" fillId="3" borderId="8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3" borderId="14" xfId="0" applyNumberFormat="1" applyFill="1" applyBorder="1" applyAlignment="1">
      <alignment horizontal="left"/>
    </xf>
    <xf numFmtId="2" fontId="0" fillId="2" borderId="13" xfId="0" applyNumberFormat="1" applyFill="1" applyBorder="1" applyAlignment="1" applyProtection="1">
      <alignment horizontal="left"/>
      <protection locked="0"/>
    </xf>
    <xf numFmtId="2" fontId="0" fillId="3" borderId="15" xfId="0" applyNumberFormat="1" applyFill="1" applyBorder="1" applyAlignment="1">
      <alignment horizontal="left"/>
    </xf>
    <xf numFmtId="2" fontId="0" fillId="2" borderId="8" xfId="0" applyNumberFormat="1" applyFill="1" applyBorder="1" applyAlignment="1" applyProtection="1">
      <alignment horizontal="left"/>
      <protection locked="0"/>
    </xf>
    <xf numFmtId="2" fontId="0" fillId="3" borderId="0" xfId="0" applyNumberFormat="1" applyFill="1" applyBorder="1" applyAlignment="1">
      <alignment horizontal="left"/>
    </xf>
    <xf numFmtId="2" fontId="0" fillId="3" borderId="9" xfId="0" applyNumberFormat="1" applyFill="1" applyBorder="1" applyAlignment="1">
      <alignment horizontal="left"/>
    </xf>
    <xf numFmtId="2" fontId="0" fillId="3" borderId="2" xfId="0" applyNumberFormat="1" applyFill="1" applyBorder="1" applyAlignment="1">
      <alignment horizontal="left"/>
    </xf>
    <xf numFmtId="1" fontId="7" fillId="0" borderId="0" xfId="0" applyNumberFormat="1" applyFont="1" applyBorder="1" applyAlignment="1" applyProtection="1">
      <alignment horizontal="left"/>
    </xf>
    <xf numFmtId="1" fontId="14" fillId="3" borderId="14" xfId="0" applyNumberFormat="1" applyFont="1" applyFill="1" applyBorder="1" applyAlignment="1">
      <alignment horizontal="left"/>
    </xf>
    <xf numFmtId="1" fontId="0" fillId="3" borderId="10" xfId="0" applyNumberFormat="1" applyFill="1" applyBorder="1" applyAlignment="1">
      <alignment horizontal="left"/>
    </xf>
    <xf numFmtId="1" fontId="0" fillId="3" borderId="16" xfId="0" applyNumberFormat="1" applyFill="1" applyBorder="1" applyAlignment="1">
      <alignment horizontal="left"/>
    </xf>
    <xf numFmtId="1" fontId="0" fillId="3" borderId="11" xfId="0" applyNumberFormat="1" applyFill="1" applyBorder="1" applyAlignment="1">
      <alignment horizontal="left"/>
    </xf>
    <xf numFmtId="1" fontId="0" fillId="3" borderId="0" xfId="0" applyNumberFormat="1" applyFill="1" applyAlignment="1">
      <alignment horizontal="left"/>
    </xf>
    <xf numFmtId="1" fontId="3" fillId="0" borderId="0" xfId="0" applyNumberFormat="1" applyFont="1" applyFill="1" applyBorder="1" applyAlignment="1" applyProtection="1"/>
    <xf numFmtId="1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Border="1" applyAlignment="1" applyProtection="1"/>
    <xf numFmtId="2" fontId="3" fillId="6" borderId="0" xfId="0" applyNumberFormat="1" applyFont="1" applyFill="1" applyBorder="1" applyAlignment="1" applyProtection="1"/>
    <xf numFmtId="164" fontId="4" fillId="3" borderId="2" xfId="0" quotePrefix="1" applyNumberFormat="1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164" fontId="4" fillId="3" borderId="2" xfId="0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Alignment="1" applyProtection="1">
      <protection locked="0"/>
    </xf>
    <xf numFmtId="3" fontId="3" fillId="2" borderId="2" xfId="0" applyNumberFormat="1" applyFont="1" applyFill="1" applyBorder="1" applyAlignment="1" applyProtection="1">
      <protection locked="0"/>
    </xf>
    <xf numFmtId="1" fontId="0" fillId="2" borderId="15" xfId="0" applyNumberFormat="1" applyFill="1" applyBorder="1" applyAlignment="1" applyProtection="1">
      <alignment horizontal="left"/>
      <protection locked="0"/>
    </xf>
    <xf numFmtId="165" fontId="3" fillId="0" borderId="1" xfId="0" applyNumberFormat="1" applyFont="1" applyFill="1" applyBorder="1" applyAlignment="1" applyProtection="1">
      <alignment horizontal="center"/>
      <protection locked="0"/>
    </xf>
    <xf numFmtId="165" fontId="3" fillId="0" borderId="1" xfId="0" applyNumberFormat="1" applyFont="1" applyFill="1" applyBorder="1" applyAlignment="1" applyProtection="1">
      <alignment horizontal="right"/>
    </xf>
    <xf numFmtId="4" fontId="3" fillId="3" borderId="2" xfId="0" applyNumberFormat="1" applyFont="1" applyFill="1" applyBorder="1" applyAlignment="1" applyProtection="1">
      <alignment horizontal="center"/>
    </xf>
    <xf numFmtId="4" fontId="16" fillId="0" borderId="7" xfId="0" applyNumberFormat="1" applyFont="1" applyBorder="1" applyAlignment="1" applyProtection="1">
      <alignment horizontal="left"/>
    </xf>
    <xf numFmtId="4" fontId="17" fillId="0" borderId="9" xfId="0" applyNumberFormat="1" applyFont="1" applyBorder="1" applyAlignment="1" applyProtection="1"/>
    <xf numFmtId="4" fontId="16" fillId="0" borderId="9" xfId="0" applyNumberFormat="1" applyFont="1" applyBorder="1" applyAlignment="1" applyProtection="1">
      <alignment horizontal="left"/>
    </xf>
    <xf numFmtId="4" fontId="17" fillId="0" borderId="8" xfId="0" applyNumberFormat="1" applyFont="1" applyBorder="1" applyAlignment="1" applyProtection="1"/>
    <xf numFmtId="4" fontId="17" fillId="0" borderId="5" xfId="0" applyNumberFormat="1" applyFont="1" applyBorder="1" applyAlignment="1" applyProtection="1">
      <alignment horizontal="right"/>
    </xf>
    <xf numFmtId="4" fontId="17" fillId="0" borderId="0" xfId="0" applyNumberFormat="1" applyFont="1" applyBorder="1" applyAlignment="1" applyProtection="1">
      <alignment horizontal="center"/>
    </xf>
    <xf numFmtId="4" fontId="17" fillId="0" borderId="0" xfId="0" applyNumberFormat="1" applyFont="1" applyBorder="1" applyAlignment="1" applyProtection="1"/>
    <xf numFmtId="4" fontId="17" fillId="0" borderId="0" xfId="0" applyNumberFormat="1" applyFont="1" applyBorder="1" applyAlignment="1" applyProtection="1">
      <alignment horizontal="right"/>
    </xf>
    <xf numFmtId="4" fontId="17" fillId="0" borderId="3" xfId="0" applyNumberFormat="1" applyFont="1" applyBorder="1" applyAlignment="1" applyProtection="1">
      <alignment horizontal="center"/>
    </xf>
    <xf numFmtId="4" fontId="17" fillId="2" borderId="1" xfId="0" applyNumberFormat="1" applyFont="1" applyFill="1" applyBorder="1" applyAlignment="1" applyProtection="1">
      <alignment horizontal="center"/>
    </xf>
    <xf numFmtId="4" fontId="17" fillId="0" borderId="1" xfId="0" applyNumberFormat="1" applyFont="1" applyFill="1" applyBorder="1" applyAlignment="1" applyProtection="1">
      <alignment horizontal="center"/>
    </xf>
    <xf numFmtId="4" fontId="17" fillId="6" borderId="1" xfId="0" applyNumberFormat="1" applyFont="1" applyFill="1" applyBorder="1" applyAlignment="1" applyProtection="1">
      <alignment horizontal="center"/>
    </xf>
    <xf numFmtId="4" fontId="17" fillId="0" borderId="0" xfId="0" applyNumberFormat="1" applyFont="1" applyFill="1" applyBorder="1" applyAlignment="1" applyProtection="1"/>
    <xf numFmtId="4" fontId="17" fillId="0" borderId="0" xfId="0" applyNumberFormat="1" applyFont="1" applyFill="1" applyBorder="1" applyAlignment="1" applyProtection="1">
      <alignment horizontal="right"/>
    </xf>
    <xf numFmtId="4" fontId="17" fillId="0" borderId="1" xfId="0" applyNumberFormat="1" applyFont="1" applyBorder="1" applyAlignment="1" applyProtection="1"/>
    <xf numFmtId="4" fontId="17" fillId="0" borderId="3" xfId="0" applyNumberFormat="1" applyFont="1" applyBorder="1" applyAlignment="1" applyProtection="1"/>
    <xf numFmtId="4" fontId="17" fillId="0" borderId="6" xfId="0" applyNumberFormat="1" applyFont="1" applyBorder="1" applyAlignment="1" applyProtection="1">
      <alignment horizontal="right"/>
    </xf>
    <xf numFmtId="4" fontId="17" fillId="0" borderId="2" xfId="0" applyNumberFormat="1" applyFont="1" applyBorder="1" applyAlignment="1" applyProtection="1"/>
    <xf numFmtId="4" fontId="17" fillId="0" borderId="2" xfId="0" applyNumberFormat="1" applyFont="1" applyBorder="1" applyAlignment="1" applyProtection="1">
      <alignment horizontal="right"/>
    </xf>
    <xf numFmtId="4" fontId="17" fillId="0" borderId="4" xfId="0" applyNumberFormat="1" applyFont="1" applyBorder="1" applyAlignment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2.5261324041811847E-2"/>
          <c:y val="1.9404915912031046E-2"/>
          <c:w val="0.81794425087108014"/>
          <c:h val="0.92108667529107369"/>
        </c:manualLayout>
      </c:layout>
      <c:scatterChart>
        <c:scatterStyle val="lineMarker"/>
        <c:ser>
          <c:idx val="0"/>
          <c:order val="0"/>
          <c:tx>
            <c:strRef>
              <c:f>Plot!$L$4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Plot!$L$6:$L$7</c:f>
              <c:numCache>
                <c:formatCode>0.00</c:formatCode>
                <c:ptCount val="2"/>
                <c:pt idx="0">
                  <c:v>30</c:v>
                </c:pt>
                <c:pt idx="1">
                  <c:v>0</c:v>
                </c:pt>
              </c:numCache>
            </c:numRef>
          </c:xVal>
          <c:yVal>
            <c:numRef>
              <c:f>Plot!$N$6:$N$7</c:f>
              <c:numCache>
                <c:formatCode>0.00</c:formatCode>
                <c:ptCount val="2"/>
                <c:pt idx="0">
                  <c:v>100</c:v>
                </c:pt>
                <c:pt idx="1">
                  <c:v>90</c:v>
                </c:pt>
              </c:numCache>
            </c:numRef>
          </c:yVal>
        </c:ser>
        <c:ser>
          <c:idx val="1"/>
          <c:order val="1"/>
          <c:tx>
            <c:strRef>
              <c:f>Plot!$L$4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Plot!$L$8:$L$9</c:f>
              <c:numCache>
                <c:formatCode>0.00</c:formatCode>
                <c:ptCount val="2"/>
                <c:pt idx="0">
                  <c:v>30</c:v>
                </c:pt>
                <c:pt idx="1">
                  <c:v>0</c:v>
                </c:pt>
              </c:numCache>
            </c:numRef>
          </c:xVal>
          <c:yVal>
            <c:numRef>
              <c:f>Plot!$N$8:$N$9</c:f>
              <c:numCache>
                <c:formatCode>0.00</c:formatCode>
                <c:ptCount val="2"/>
                <c:pt idx="0">
                  <c:v>60</c:v>
                </c:pt>
                <c:pt idx="1">
                  <c:v>70</c:v>
                </c:pt>
              </c:numCache>
            </c:numRef>
          </c:yVal>
        </c:ser>
        <c:ser>
          <c:idx val="2"/>
          <c:order val="2"/>
          <c:tx>
            <c:strRef>
              <c:f>Plot!$L$15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Plot!$L$17:$L$18</c:f>
              <c:numCache>
                <c:formatCode>0.00</c:formatCode>
                <c:ptCount val="2"/>
                <c:pt idx="0">
                  <c:v>50</c:v>
                </c:pt>
                <c:pt idx="1">
                  <c:v>3</c:v>
                </c:pt>
              </c:numCache>
            </c:numRef>
          </c:xVal>
          <c:yVal>
            <c:numRef>
              <c:f>Plot!$N$17:$N$18</c:f>
              <c:numCache>
                <c:formatCode>0.00</c:formatCode>
                <c:ptCount val="2"/>
                <c:pt idx="0">
                  <c:v>85</c:v>
                </c:pt>
                <c:pt idx="1">
                  <c:v>100</c:v>
                </c:pt>
              </c:numCache>
            </c:numRef>
          </c:yVal>
        </c:ser>
        <c:ser>
          <c:idx val="3"/>
          <c:order val="3"/>
          <c:tx>
            <c:strRef>
              <c:f>Plot!$L$15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Plot!$L$19:$L$20</c:f>
              <c:numCache>
                <c:formatCode>0.00</c:formatCode>
                <c:ptCount val="2"/>
                <c:pt idx="0">
                  <c:v>50</c:v>
                </c:pt>
                <c:pt idx="1">
                  <c:v>3</c:v>
                </c:pt>
              </c:numCache>
            </c:numRef>
          </c:xVal>
          <c:yVal>
            <c:numRef>
              <c:f>Plot!$N$19:$N$20</c:f>
              <c:numCache>
                <c:formatCode>0.00</c:formatCode>
                <c:ptCount val="2"/>
                <c:pt idx="0">
                  <c:v>75</c:v>
                </c:pt>
                <c:pt idx="1">
                  <c:v>60</c:v>
                </c:pt>
              </c:numCache>
            </c:numRef>
          </c:yVal>
        </c:ser>
        <c:ser>
          <c:idx val="4"/>
          <c:order val="4"/>
          <c:tx>
            <c:strRef>
              <c:f>Plot!$L$10</c:f>
              <c:strCache>
                <c:ptCount val="1"/>
                <c:pt idx="0">
                  <c:v>IC Trace Upper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Plot!$L$12:$L$14</c:f>
              <c:numCache>
                <c:formatCode>0.00</c:formatCode>
                <c:ptCount val="3"/>
                <c:pt idx="0">
                  <c:v>0</c:v>
                </c:pt>
                <c:pt idx="1">
                  <c:v>-30</c:v>
                </c:pt>
                <c:pt idx="2">
                  <c:v>0</c:v>
                </c:pt>
              </c:numCache>
            </c:numRef>
          </c:xVal>
          <c:yVal>
            <c:numRef>
              <c:f>Plot!$N$12:$N$14</c:f>
              <c:numCache>
                <c:formatCode>0.00</c:formatCode>
                <c:ptCount val="3"/>
                <c:pt idx="0">
                  <c:v>90</c:v>
                </c:pt>
                <c:pt idx="1">
                  <c:v>80</c:v>
                </c:pt>
                <c:pt idx="2">
                  <c:v>70</c:v>
                </c:pt>
              </c:numCache>
            </c:numRef>
          </c:yVal>
        </c:ser>
        <c:ser>
          <c:idx val="5"/>
          <c:order val="5"/>
          <c:tx>
            <c:strRef>
              <c:f>Plot!$L$21</c:f>
              <c:strCache>
                <c:ptCount val="1"/>
                <c:pt idx="0">
                  <c:v>IC Trace Lower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Plot!$L$23:$L$25</c:f>
              <c:numCache>
                <c:formatCode>0.00</c:formatCode>
                <c:ptCount val="3"/>
                <c:pt idx="0">
                  <c:v>50</c:v>
                </c:pt>
                <c:pt idx="1">
                  <c:v>65.666666666666657</c:v>
                </c:pt>
                <c:pt idx="2">
                  <c:v>50</c:v>
                </c:pt>
              </c:numCache>
            </c:numRef>
          </c:xVal>
          <c:yVal>
            <c:numRef>
              <c:f>Plot!$N$23:$N$25</c:f>
              <c:numCache>
                <c:formatCode>0.00</c:formatCode>
                <c:ptCount val="3"/>
                <c:pt idx="0">
                  <c:v>85</c:v>
                </c:pt>
                <c:pt idx="1">
                  <c:v>80</c:v>
                </c:pt>
                <c:pt idx="2">
                  <c:v>75</c:v>
                </c:pt>
              </c:numCache>
            </c:numRef>
          </c:yVal>
        </c:ser>
        <c:ser>
          <c:idx val="6"/>
          <c:order val="6"/>
          <c:tx>
            <c:v>Tires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Plot!$C$5:$C$29</c:f>
              <c:numCache>
                <c:formatCode>0.00</c:formatCode>
                <c:ptCount val="25"/>
                <c:pt idx="0">
                  <c:v>104</c:v>
                </c:pt>
                <c:pt idx="1">
                  <c:v>99.341257188154628</c:v>
                </c:pt>
                <c:pt idx="2">
                  <c:v>95</c:v>
                </c:pt>
                <c:pt idx="3">
                  <c:v>91.272077938642141</c:v>
                </c:pt>
                <c:pt idx="4">
                  <c:v>88.411542731880104</c:v>
                </c:pt>
                <c:pt idx="5">
                  <c:v>86.61333512679677</c:v>
                </c:pt>
                <c:pt idx="6">
                  <c:v>86</c:v>
                </c:pt>
                <c:pt idx="7">
                  <c:v>86.61333512679677</c:v>
                </c:pt>
                <c:pt idx="8">
                  <c:v>88.411542731880104</c:v>
                </c:pt>
                <c:pt idx="9">
                  <c:v>91.272077938642141</c:v>
                </c:pt>
                <c:pt idx="10">
                  <c:v>95</c:v>
                </c:pt>
                <c:pt idx="11">
                  <c:v>99.341257188154628</c:v>
                </c:pt>
                <c:pt idx="12">
                  <c:v>104</c:v>
                </c:pt>
                <c:pt idx="13">
                  <c:v>108.65874281184537</c:v>
                </c:pt>
                <c:pt idx="14">
                  <c:v>113</c:v>
                </c:pt>
                <c:pt idx="15">
                  <c:v>116.72792206135786</c:v>
                </c:pt>
                <c:pt idx="16">
                  <c:v>119.5884572681199</c:v>
                </c:pt>
                <c:pt idx="17">
                  <c:v>121.38666487320323</c:v>
                </c:pt>
                <c:pt idx="18">
                  <c:v>122</c:v>
                </c:pt>
                <c:pt idx="19">
                  <c:v>121.38666487320323</c:v>
                </c:pt>
                <c:pt idx="20">
                  <c:v>119.5884572681199</c:v>
                </c:pt>
                <c:pt idx="21">
                  <c:v>116.72792206135786</c:v>
                </c:pt>
                <c:pt idx="22">
                  <c:v>113</c:v>
                </c:pt>
                <c:pt idx="23">
                  <c:v>108.65874281184537</c:v>
                </c:pt>
                <c:pt idx="24">
                  <c:v>104</c:v>
                </c:pt>
              </c:numCache>
            </c:numRef>
          </c:xVal>
          <c:yVal>
            <c:numRef>
              <c:f>Plot!$D$5:$D$29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1.4115427318801039</c:v>
                </c:pt>
                <c:pt idx="3">
                  <c:v>4.272077938642143</c:v>
                </c:pt>
                <c:pt idx="4">
                  <c:v>7.9999999999999982</c:v>
                </c:pt>
                <c:pt idx="5">
                  <c:v>12.341257188154627</c:v>
                </c:pt>
                <c:pt idx="6">
                  <c:v>17</c:v>
                </c:pt>
                <c:pt idx="7">
                  <c:v>21.658742811845375</c:v>
                </c:pt>
                <c:pt idx="8">
                  <c:v>25.999999999999996</c:v>
                </c:pt>
                <c:pt idx="9">
                  <c:v>29.727922061357855</c:v>
                </c:pt>
                <c:pt idx="10">
                  <c:v>32.588457268119896</c:v>
                </c:pt>
                <c:pt idx="11">
                  <c:v>34.38666487320323</c:v>
                </c:pt>
                <c:pt idx="12">
                  <c:v>35</c:v>
                </c:pt>
                <c:pt idx="13">
                  <c:v>34.38666487320323</c:v>
                </c:pt>
                <c:pt idx="14">
                  <c:v>32.588457268119896</c:v>
                </c:pt>
                <c:pt idx="15">
                  <c:v>29.727922061357859</c:v>
                </c:pt>
                <c:pt idx="16">
                  <c:v>26.000000000000007</c:v>
                </c:pt>
                <c:pt idx="17">
                  <c:v>21.658742811845372</c:v>
                </c:pt>
                <c:pt idx="18">
                  <c:v>17.000000000000004</c:v>
                </c:pt>
                <c:pt idx="19">
                  <c:v>12.341257188154636</c:v>
                </c:pt>
                <c:pt idx="20">
                  <c:v>7.9999999999999982</c:v>
                </c:pt>
                <c:pt idx="21">
                  <c:v>4.2720779386421484</c:v>
                </c:pt>
                <c:pt idx="22">
                  <c:v>1.4115427318801093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Plot!$E$3</c:f>
              <c:strCache>
                <c:ptCount val="1"/>
                <c:pt idx="0">
                  <c:v>Rear Tire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Plot!$E$5:$E$29</c:f>
              <c:numCache>
                <c:formatCode>0.00</c:formatCode>
                <c:ptCount val="25"/>
                <c:pt idx="0">
                  <c:v>0</c:v>
                </c:pt>
                <c:pt idx="1">
                  <c:v>4.6587428118453733</c:v>
                </c:pt>
                <c:pt idx="2">
                  <c:v>8.9999999999999982</c:v>
                </c:pt>
                <c:pt idx="3">
                  <c:v>12.727922061357855</c:v>
                </c:pt>
                <c:pt idx="4">
                  <c:v>15.588457268119894</c:v>
                </c:pt>
                <c:pt idx="5">
                  <c:v>17.38666487320323</c:v>
                </c:pt>
                <c:pt idx="6">
                  <c:v>18</c:v>
                </c:pt>
                <c:pt idx="7">
                  <c:v>17.38666487320323</c:v>
                </c:pt>
                <c:pt idx="8">
                  <c:v>15.588457268119896</c:v>
                </c:pt>
                <c:pt idx="9">
                  <c:v>12.727922061357857</c:v>
                </c:pt>
                <c:pt idx="10">
                  <c:v>8.9999999999999982</c:v>
                </c:pt>
                <c:pt idx="11">
                  <c:v>4.6587428118453786</c:v>
                </c:pt>
                <c:pt idx="12">
                  <c:v>2.205267218835516E-15</c:v>
                </c:pt>
                <c:pt idx="13">
                  <c:v>-4.6587428118453742</c:v>
                </c:pt>
                <c:pt idx="14">
                  <c:v>-9.0000000000000018</c:v>
                </c:pt>
                <c:pt idx="15">
                  <c:v>-12.727922061357855</c:v>
                </c:pt>
                <c:pt idx="16">
                  <c:v>-15.588457268119891</c:v>
                </c:pt>
                <c:pt idx="17">
                  <c:v>-17.38666487320323</c:v>
                </c:pt>
                <c:pt idx="18">
                  <c:v>-18</c:v>
                </c:pt>
                <c:pt idx="19">
                  <c:v>-17.38666487320323</c:v>
                </c:pt>
                <c:pt idx="20">
                  <c:v>-15.588457268119894</c:v>
                </c:pt>
                <c:pt idx="21">
                  <c:v>-12.727922061357859</c:v>
                </c:pt>
                <c:pt idx="22">
                  <c:v>-9.0000000000000071</c:v>
                </c:pt>
                <c:pt idx="23">
                  <c:v>-4.6587428118453724</c:v>
                </c:pt>
                <c:pt idx="24">
                  <c:v>-4.410534437671032E-15</c:v>
                </c:pt>
              </c:numCache>
            </c:numRef>
          </c:xVal>
          <c:yVal>
            <c:numRef>
              <c:f>Plot!$F$5:$F$29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1.4115427318801039</c:v>
                </c:pt>
                <c:pt idx="3">
                  <c:v>4.272077938642143</c:v>
                </c:pt>
                <c:pt idx="4">
                  <c:v>7.9999999999999982</c:v>
                </c:pt>
                <c:pt idx="5">
                  <c:v>12.341257188154627</c:v>
                </c:pt>
                <c:pt idx="6">
                  <c:v>17</c:v>
                </c:pt>
                <c:pt idx="7">
                  <c:v>21.658742811845375</c:v>
                </c:pt>
                <c:pt idx="8">
                  <c:v>25.999999999999996</c:v>
                </c:pt>
                <c:pt idx="9">
                  <c:v>29.727922061357855</c:v>
                </c:pt>
                <c:pt idx="10">
                  <c:v>32.588457268119896</c:v>
                </c:pt>
                <c:pt idx="11">
                  <c:v>34.38666487320323</c:v>
                </c:pt>
                <c:pt idx="12">
                  <c:v>35</c:v>
                </c:pt>
                <c:pt idx="13">
                  <c:v>34.38666487320323</c:v>
                </c:pt>
                <c:pt idx="14">
                  <c:v>32.588457268119896</c:v>
                </c:pt>
                <c:pt idx="15">
                  <c:v>29.727922061357859</c:v>
                </c:pt>
                <c:pt idx="16">
                  <c:v>26.000000000000007</c:v>
                </c:pt>
                <c:pt idx="17">
                  <c:v>21.658742811845372</c:v>
                </c:pt>
                <c:pt idx="18">
                  <c:v>17.000000000000004</c:v>
                </c:pt>
                <c:pt idx="19">
                  <c:v>12.341257188154636</c:v>
                </c:pt>
                <c:pt idx="20">
                  <c:v>7.9999999999999982</c:v>
                </c:pt>
                <c:pt idx="21">
                  <c:v>4.2720779386421484</c:v>
                </c:pt>
                <c:pt idx="22">
                  <c:v>1.4115427318801093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Main!$F$3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Main!$G$4:$G$5</c:f>
              <c:numCache>
                <c:formatCode>#,##0.00</c:formatCode>
                <c:ptCount val="2"/>
                <c:pt idx="0">
                  <c:v>30</c:v>
                </c:pt>
                <c:pt idx="1">
                  <c:v>0</c:v>
                </c:pt>
              </c:numCache>
            </c:numRef>
          </c:xVal>
          <c:yVal>
            <c:numRef>
              <c:f>Main!$I$4:$I$5</c:f>
              <c:numCache>
                <c:formatCode>#,##0.00</c:formatCode>
                <c:ptCount val="2"/>
                <c:pt idx="0">
                  <c:v>25</c:v>
                </c:pt>
                <c:pt idx="1">
                  <c:v>30</c:v>
                </c:pt>
              </c:numCache>
            </c:numRef>
          </c:yVal>
        </c:ser>
        <c:ser>
          <c:idx val="9"/>
          <c:order val="9"/>
          <c:tx>
            <c:strRef>
              <c:f>Main!$F$6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Main!$G$7:$G$8</c:f>
              <c:numCache>
                <c:formatCode>#,##0.00</c:formatCode>
                <c:ptCount val="2"/>
                <c:pt idx="0">
                  <c:v>50</c:v>
                </c:pt>
                <c:pt idx="1">
                  <c:v>3</c:v>
                </c:pt>
              </c:numCache>
            </c:numRef>
          </c:xVal>
          <c:yVal>
            <c:numRef>
              <c:f>Main!$I$7:$I$8</c:f>
              <c:numCache>
                <c:formatCode>#,##0.00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</c:ser>
        <c:ser>
          <c:idx val="10"/>
          <c:order val="10"/>
          <c:tx>
            <c:strRef>
              <c:f>Plot!$G$3</c:f>
              <c:strCache>
                <c:ptCount val="1"/>
                <c:pt idx="0">
                  <c:v>IC Trace Upper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Plot!$G$5:$G$6</c:f>
              <c:numCache>
                <c:formatCode>0.00</c:formatCode>
                <c:ptCount val="2"/>
                <c:pt idx="0">
                  <c:v>30</c:v>
                </c:pt>
                <c:pt idx="1">
                  <c:v>90</c:v>
                </c:pt>
              </c:numCache>
            </c:numRef>
          </c:xVal>
          <c:yVal>
            <c:numRef>
              <c:f>Plot!$H$5:$H$6</c:f>
              <c:numCache>
                <c:formatCode>0.00</c:formatCode>
                <c:ptCount val="2"/>
                <c:pt idx="0">
                  <c:v>25</c:v>
                </c:pt>
                <c:pt idx="1">
                  <c:v>15</c:v>
                </c:pt>
              </c:numCache>
            </c:numRef>
          </c:yVal>
        </c:ser>
        <c:ser>
          <c:idx val="11"/>
          <c:order val="11"/>
          <c:tx>
            <c:strRef>
              <c:f>Plot!$G$7</c:f>
              <c:strCache>
                <c:ptCount val="1"/>
                <c:pt idx="0">
                  <c:v>IC Trace Lower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Plot!$G$9:$G$10</c:f>
              <c:numCache>
                <c:formatCode>0.00</c:formatCode>
                <c:ptCount val="2"/>
                <c:pt idx="0">
                  <c:v>50</c:v>
                </c:pt>
                <c:pt idx="1">
                  <c:v>90</c:v>
                </c:pt>
              </c:numCache>
            </c:numRef>
          </c:xVal>
          <c:yVal>
            <c:numRef>
              <c:f>Plot!$H$9:$H$10</c:f>
              <c:numCache>
                <c:formatCode>0.00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</c:ser>
        <c:ser>
          <c:idx val="12"/>
          <c:order val="12"/>
          <c:tx>
            <c:strRef>
              <c:f>Plot!$G$11</c:f>
              <c:strCache>
                <c:ptCount val="1"/>
                <c:pt idx="0">
                  <c:v>Anti-Squat Line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DotDot"/>
            </a:ln>
          </c:spPr>
          <c:marker>
            <c:symbol val="none"/>
          </c:marker>
          <c:xVal>
            <c:numRef>
              <c:f>Plot!$G$13:$G$15</c:f>
              <c:numCache>
                <c:formatCode>0.00</c:formatCode>
                <c:ptCount val="3"/>
                <c:pt idx="0">
                  <c:v>0</c:v>
                </c:pt>
                <c:pt idx="1">
                  <c:v>90</c:v>
                </c:pt>
                <c:pt idx="2">
                  <c:v>104</c:v>
                </c:pt>
              </c:numCache>
            </c:numRef>
          </c:xVal>
          <c:yVal>
            <c:numRef>
              <c:f>Plot!$H$13:$H$15</c:f>
              <c:numCache>
                <c:formatCode>0.00</c:formatCode>
                <c:ptCount val="3"/>
                <c:pt idx="0">
                  <c:v>0</c:v>
                </c:pt>
                <c:pt idx="1">
                  <c:v>15</c:v>
                </c:pt>
                <c:pt idx="2">
                  <c:v>17.333333333333332</c:v>
                </c:pt>
              </c:numCache>
            </c:numRef>
          </c:yVal>
        </c:ser>
        <c:ser>
          <c:idx val="13"/>
          <c:order val="13"/>
          <c:tx>
            <c:strRef>
              <c:f>Plot!$G$16</c:f>
              <c:strCache>
                <c:ptCount val="1"/>
                <c:pt idx="0">
                  <c:v>Anti-Squat CG</c:v>
                </c:pt>
              </c:strCache>
            </c:strRef>
          </c:tx>
          <c:spPr>
            <a:ln w="12700">
              <a:solidFill>
                <a:srgbClr val="00FFFF"/>
              </a:solidFill>
              <a:prstDash val="lgDash"/>
            </a:ln>
          </c:spPr>
          <c:marker>
            <c:symbol val="none"/>
          </c:marker>
          <c:xVal>
            <c:numRef>
              <c:f>Plot!$G$18:$G$19</c:f>
              <c:numCache>
                <c:formatCode>0.00</c:formatCode>
                <c:ptCount val="2"/>
                <c:pt idx="0">
                  <c:v>-20</c:v>
                </c:pt>
                <c:pt idx="1">
                  <c:v>120</c:v>
                </c:pt>
              </c:numCache>
            </c:numRef>
          </c:xVal>
          <c:yVal>
            <c:numRef>
              <c:f>Plot!$H$18:$H$19</c:f>
              <c:numCache>
                <c:formatCode>0.00</c:formatCode>
                <c:ptCount val="2"/>
                <c:pt idx="0">
                  <c:v>27.395348837209301</c:v>
                </c:pt>
                <c:pt idx="1">
                  <c:v>27.395348837209301</c:v>
                </c:pt>
              </c:numCache>
            </c:numRef>
          </c:yVal>
        </c:ser>
        <c:ser>
          <c:idx val="14"/>
          <c:order val="14"/>
          <c:tx>
            <c:strRef>
              <c:f>Plot!$G$20</c:f>
              <c:strCache>
                <c:ptCount val="1"/>
                <c:pt idx="0">
                  <c:v>100% AS Line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xVal>
            <c:numRef>
              <c:f>Plot!$G$22:$G$23</c:f>
              <c:numCache>
                <c:formatCode>0.00</c:formatCode>
                <c:ptCount val="2"/>
                <c:pt idx="0">
                  <c:v>0</c:v>
                </c:pt>
                <c:pt idx="1">
                  <c:v>104</c:v>
                </c:pt>
              </c:numCache>
            </c:numRef>
          </c:xVal>
          <c:yVal>
            <c:numRef>
              <c:f>Plot!$H$22:$H$23</c:f>
              <c:numCache>
                <c:formatCode>0.00</c:formatCode>
                <c:ptCount val="2"/>
                <c:pt idx="0">
                  <c:v>0</c:v>
                </c:pt>
                <c:pt idx="1">
                  <c:v>27.395348837209301</c:v>
                </c:pt>
              </c:numCache>
            </c:numRef>
          </c:yVal>
        </c:ser>
        <c:ser>
          <c:idx val="15"/>
          <c:order val="15"/>
          <c:tx>
            <c:strRef>
              <c:f>Plot!$G$24</c:f>
              <c:strCache>
                <c:ptCount val="1"/>
                <c:pt idx="0">
                  <c:v>Roll Axis</c:v>
                </c:pt>
              </c:strCache>
            </c:strRef>
          </c:tx>
          <c:spPr>
            <a:ln w="25400">
              <a:solidFill>
                <a:srgbClr val="FF6600"/>
              </a:solidFill>
              <a:prstDash val="lgDashDot"/>
            </a:ln>
          </c:spPr>
          <c:marker>
            <c:symbol val="circ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Plot!$G$26:$G$28</c:f>
              <c:numCache>
                <c:formatCode>0.00</c:formatCode>
                <c:ptCount val="3"/>
                <c:pt idx="0">
                  <c:v>-30</c:v>
                </c:pt>
                <c:pt idx="1">
                  <c:v>0</c:v>
                </c:pt>
                <c:pt idx="2">
                  <c:v>65.666666666666657</c:v>
                </c:pt>
              </c:numCache>
            </c:numRef>
          </c:xVal>
          <c:yVal>
            <c:numRef>
              <c:f>Plot!$H$26:$H$28</c:f>
              <c:numCache>
                <c:formatCode>0.00</c:formatCode>
                <c:ptCount val="3"/>
                <c:pt idx="0">
                  <c:v>35</c:v>
                </c:pt>
                <c:pt idx="1">
                  <c:v>28.728222996515679</c:v>
                </c:pt>
                <c:pt idx="2">
                  <c:v>15</c:v>
                </c:pt>
              </c:numCache>
            </c:numRef>
          </c:yVal>
        </c:ser>
        <c:ser>
          <c:idx val="16"/>
          <c:order val="16"/>
          <c:tx>
            <c:v>Roll Center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Plot!$G$27</c:f>
              <c:numCache>
                <c:formatCode>0.00</c:formatCode>
                <c:ptCount val="1"/>
                <c:pt idx="0">
                  <c:v>0</c:v>
                </c:pt>
              </c:numCache>
            </c:numRef>
          </c:xVal>
          <c:yVal>
            <c:numRef>
              <c:f>Plot!$H$27</c:f>
              <c:numCache>
                <c:formatCode>0.00</c:formatCode>
                <c:ptCount val="1"/>
                <c:pt idx="0">
                  <c:v>28.728222996515679</c:v>
                </c:pt>
              </c:numCache>
            </c:numRef>
          </c:yVal>
        </c:ser>
        <c:ser>
          <c:idx val="17"/>
          <c:order val="17"/>
          <c:tx>
            <c:v>Instant Center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FFFFFF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VectorCalculations!$C$35</c:f>
              <c:numCache>
                <c:formatCode>0.000</c:formatCode>
                <c:ptCount val="1"/>
                <c:pt idx="0">
                  <c:v>90</c:v>
                </c:pt>
              </c:numCache>
            </c:numRef>
          </c:xVal>
          <c:yVal>
            <c:numRef>
              <c:f>VectorCalculations!$C$36</c:f>
              <c:numCache>
                <c:formatCode>0.000</c:formatCode>
                <c:ptCount val="1"/>
                <c:pt idx="0">
                  <c:v>15</c:v>
                </c:pt>
              </c:numCache>
            </c:numRef>
          </c:yVal>
        </c:ser>
        <c:ser>
          <c:idx val="18"/>
          <c:order val="18"/>
          <c:tx>
            <c:strRef>
              <c:f>Plot!$I$4</c:f>
              <c:strCache>
                <c:ptCount val="1"/>
                <c:pt idx="0">
                  <c:v>Rear Axle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Plot!$I$6:$I$18</c:f>
              <c:numCache>
                <c:formatCode>0.00</c:formatCode>
                <c:ptCount val="13"/>
                <c:pt idx="0">
                  <c:v>0</c:v>
                </c:pt>
                <c:pt idx="1">
                  <c:v>0.93749999999999989</c:v>
                </c:pt>
                <c:pt idx="2">
                  <c:v>1.6237976320958223</c:v>
                </c:pt>
                <c:pt idx="3">
                  <c:v>1.875</c:v>
                </c:pt>
                <c:pt idx="4">
                  <c:v>1.6237976320958225</c:v>
                </c:pt>
                <c:pt idx="5">
                  <c:v>0.93749999999999989</c:v>
                </c:pt>
                <c:pt idx="6">
                  <c:v>2.2971533529536625E-16</c:v>
                </c:pt>
                <c:pt idx="7">
                  <c:v>-0.93750000000000022</c:v>
                </c:pt>
                <c:pt idx="8">
                  <c:v>-1.6237976320958221</c:v>
                </c:pt>
                <c:pt idx="9">
                  <c:v>-1.875</c:v>
                </c:pt>
                <c:pt idx="10">
                  <c:v>-1.6237976320958223</c:v>
                </c:pt>
                <c:pt idx="11">
                  <c:v>-0.93750000000000089</c:v>
                </c:pt>
                <c:pt idx="12">
                  <c:v>-4.594306705907325E-16</c:v>
                </c:pt>
              </c:numCache>
            </c:numRef>
          </c:xVal>
          <c:yVal>
            <c:numRef>
              <c:f>Plot!$J$6:$J$18</c:f>
              <c:numCache>
                <c:formatCode>0.00</c:formatCode>
                <c:ptCount val="13"/>
                <c:pt idx="0">
                  <c:v>18.875</c:v>
                </c:pt>
                <c:pt idx="1">
                  <c:v>18.623797632095823</c:v>
                </c:pt>
                <c:pt idx="2">
                  <c:v>17.9375</c:v>
                </c:pt>
                <c:pt idx="3">
                  <c:v>17</c:v>
                </c:pt>
                <c:pt idx="4">
                  <c:v>16.0625</c:v>
                </c:pt>
                <c:pt idx="5">
                  <c:v>15.376202367904177</c:v>
                </c:pt>
                <c:pt idx="6">
                  <c:v>15.125</c:v>
                </c:pt>
                <c:pt idx="7">
                  <c:v>15.376202367904177</c:v>
                </c:pt>
                <c:pt idx="8">
                  <c:v>16.0625</c:v>
                </c:pt>
                <c:pt idx="9">
                  <c:v>17</c:v>
                </c:pt>
                <c:pt idx="10">
                  <c:v>17.9375</c:v>
                </c:pt>
                <c:pt idx="11">
                  <c:v>18.623797632095823</c:v>
                </c:pt>
                <c:pt idx="12">
                  <c:v>18.875</c:v>
                </c:pt>
              </c:numCache>
            </c:numRef>
          </c:yVal>
        </c:ser>
        <c:axId val="89998464"/>
        <c:axId val="90000000"/>
      </c:scatterChart>
      <c:valAx>
        <c:axId val="89998464"/>
        <c:scaling>
          <c:orientation val="minMax"/>
          <c:max val="140"/>
          <c:min val="-2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000000"/>
        <c:crossesAt val="0"/>
        <c:crossBetween val="midCat"/>
        <c:majorUnit val="20"/>
        <c:minorUnit val="5"/>
      </c:valAx>
      <c:valAx>
        <c:axId val="90000000"/>
        <c:scaling>
          <c:orientation val="minMax"/>
          <c:max val="12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none"/>
        <c:tickLblPos val="none"/>
        <c:spPr>
          <a:ln w="9525">
            <a:noFill/>
          </a:ln>
        </c:spPr>
        <c:crossAx val="89998464"/>
        <c:crossesAt val="0"/>
        <c:crossBetween val="midCat"/>
        <c:majorUnit val="20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8"/>
        <c:delete val="1"/>
      </c:legendEntry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7195121951219512"/>
          <c:y val="9.8318240620957315E-2"/>
          <c:w val="0.12456445993031359"/>
          <c:h val="0.807244501940491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1250022706547843E-2"/>
          <c:y val="4.5589714827158519E-2"/>
          <c:w val="0.93824472935611491"/>
          <c:h val="0.90485673124338528"/>
        </c:manualLayout>
      </c:layout>
      <c:scatterChart>
        <c:scatterStyle val="lineMarker"/>
        <c:ser>
          <c:idx val="0"/>
          <c:order val="0"/>
          <c:tx>
            <c:strRef>
              <c:f>Plot!$L$4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Plot!$L$6:$L$7</c:f>
              <c:numCache>
                <c:formatCode>0.00</c:formatCode>
                <c:ptCount val="2"/>
                <c:pt idx="0">
                  <c:v>30</c:v>
                </c:pt>
                <c:pt idx="1">
                  <c:v>0</c:v>
                </c:pt>
              </c:numCache>
            </c:numRef>
          </c:xVal>
          <c:yVal>
            <c:numRef>
              <c:f>Plot!$N$6:$N$7</c:f>
              <c:numCache>
                <c:formatCode>0.00</c:formatCode>
                <c:ptCount val="2"/>
                <c:pt idx="0">
                  <c:v>100</c:v>
                </c:pt>
                <c:pt idx="1">
                  <c:v>90</c:v>
                </c:pt>
              </c:numCache>
            </c:numRef>
          </c:yVal>
        </c:ser>
        <c:ser>
          <c:idx val="1"/>
          <c:order val="1"/>
          <c:tx>
            <c:strRef>
              <c:f>Plot!$L$4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Plot!$L$8:$L$9</c:f>
              <c:numCache>
                <c:formatCode>0.00</c:formatCode>
                <c:ptCount val="2"/>
                <c:pt idx="0">
                  <c:v>30</c:v>
                </c:pt>
                <c:pt idx="1">
                  <c:v>0</c:v>
                </c:pt>
              </c:numCache>
            </c:numRef>
          </c:xVal>
          <c:yVal>
            <c:numRef>
              <c:f>Plot!$N$8:$N$9</c:f>
              <c:numCache>
                <c:formatCode>0.00</c:formatCode>
                <c:ptCount val="2"/>
                <c:pt idx="0">
                  <c:v>60</c:v>
                </c:pt>
                <c:pt idx="1">
                  <c:v>70</c:v>
                </c:pt>
              </c:numCache>
            </c:numRef>
          </c:yVal>
        </c:ser>
        <c:ser>
          <c:idx val="2"/>
          <c:order val="2"/>
          <c:tx>
            <c:strRef>
              <c:f>Plot!$L$15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Plot!$L$17:$L$18</c:f>
              <c:numCache>
                <c:formatCode>0.00</c:formatCode>
                <c:ptCount val="2"/>
                <c:pt idx="0">
                  <c:v>50</c:v>
                </c:pt>
                <c:pt idx="1">
                  <c:v>3</c:v>
                </c:pt>
              </c:numCache>
            </c:numRef>
          </c:xVal>
          <c:yVal>
            <c:numRef>
              <c:f>Plot!$N$17:$N$18</c:f>
              <c:numCache>
                <c:formatCode>0.00</c:formatCode>
                <c:ptCount val="2"/>
                <c:pt idx="0">
                  <c:v>85</c:v>
                </c:pt>
                <c:pt idx="1">
                  <c:v>100</c:v>
                </c:pt>
              </c:numCache>
            </c:numRef>
          </c:yVal>
        </c:ser>
        <c:ser>
          <c:idx val="3"/>
          <c:order val="3"/>
          <c:tx>
            <c:strRef>
              <c:f>Plot!$L$15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Plot!$L$19:$L$20</c:f>
              <c:numCache>
                <c:formatCode>0.00</c:formatCode>
                <c:ptCount val="2"/>
                <c:pt idx="0">
                  <c:v>50</c:v>
                </c:pt>
                <c:pt idx="1">
                  <c:v>3</c:v>
                </c:pt>
              </c:numCache>
            </c:numRef>
          </c:xVal>
          <c:yVal>
            <c:numRef>
              <c:f>Plot!$N$19:$N$20</c:f>
              <c:numCache>
                <c:formatCode>0.00</c:formatCode>
                <c:ptCount val="2"/>
                <c:pt idx="0">
                  <c:v>75</c:v>
                </c:pt>
                <c:pt idx="1">
                  <c:v>60</c:v>
                </c:pt>
              </c:numCache>
            </c:numRef>
          </c:yVal>
        </c:ser>
        <c:ser>
          <c:idx val="4"/>
          <c:order val="4"/>
          <c:tx>
            <c:strRef>
              <c:f>Plot!$L$10</c:f>
              <c:strCache>
                <c:ptCount val="1"/>
                <c:pt idx="0">
                  <c:v>IC Trace Upper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Plot!$L$12:$L$14</c:f>
              <c:numCache>
                <c:formatCode>0.00</c:formatCode>
                <c:ptCount val="3"/>
                <c:pt idx="0">
                  <c:v>0</c:v>
                </c:pt>
                <c:pt idx="1">
                  <c:v>-30</c:v>
                </c:pt>
                <c:pt idx="2">
                  <c:v>0</c:v>
                </c:pt>
              </c:numCache>
            </c:numRef>
          </c:xVal>
          <c:yVal>
            <c:numRef>
              <c:f>Plot!$N$12:$N$14</c:f>
              <c:numCache>
                <c:formatCode>0.00</c:formatCode>
                <c:ptCount val="3"/>
                <c:pt idx="0">
                  <c:v>90</c:v>
                </c:pt>
                <c:pt idx="1">
                  <c:v>80</c:v>
                </c:pt>
                <c:pt idx="2">
                  <c:v>70</c:v>
                </c:pt>
              </c:numCache>
            </c:numRef>
          </c:yVal>
        </c:ser>
        <c:ser>
          <c:idx val="5"/>
          <c:order val="5"/>
          <c:tx>
            <c:strRef>
              <c:f>Plot!$L$21</c:f>
              <c:strCache>
                <c:ptCount val="1"/>
                <c:pt idx="0">
                  <c:v>IC Trace Lower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Plot!$L$23:$L$25</c:f>
              <c:numCache>
                <c:formatCode>0.00</c:formatCode>
                <c:ptCount val="3"/>
                <c:pt idx="0">
                  <c:v>50</c:v>
                </c:pt>
                <c:pt idx="1">
                  <c:v>65.666666666666657</c:v>
                </c:pt>
                <c:pt idx="2">
                  <c:v>50</c:v>
                </c:pt>
              </c:numCache>
            </c:numRef>
          </c:xVal>
          <c:yVal>
            <c:numRef>
              <c:f>Plot!$N$23:$N$25</c:f>
              <c:numCache>
                <c:formatCode>0.00</c:formatCode>
                <c:ptCount val="3"/>
                <c:pt idx="0">
                  <c:v>85</c:v>
                </c:pt>
                <c:pt idx="1">
                  <c:v>80</c:v>
                </c:pt>
                <c:pt idx="2">
                  <c:v>75</c:v>
                </c:pt>
              </c:numCache>
            </c:numRef>
          </c:yVal>
        </c:ser>
        <c:ser>
          <c:idx val="6"/>
          <c:order val="6"/>
          <c:tx>
            <c:v>Tires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Plot!$C$5:$C$29</c:f>
              <c:numCache>
                <c:formatCode>0.00</c:formatCode>
                <c:ptCount val="25"/>
                <c:pt idx="0">
                  <c:v>104</c:v>
                </c:pt>
                <c:pt idx="1">
                  <c:v>99.341257188154628</c:v>
                </c:pt>
                <c:pt idx="2">
                  <c:v>95</c:v>
                </c:pt>
                <c:pt idx="3">
                  <c:v>91.272077938642141</c:v>
                </c:pt>
                <c:pt idx="4">
                  <c:v>88.411542731880104</c:v>
                </c:pt>
                <c:pt idx="5">
                  <c:v>86.61333512679677</c:v>
                </c:pt>
                <c:pt idx="6">
                  <c:v>86</c:v>
                </c:pt>
                <c:pt idx="7">
                  <c:v>86.61333512679677</c:v>
                </c:pt>
                <c:pt idx="8">
                  <c:v>88.411542731880104</c:v>
                </c:pt>
                <c:pt idx="9">
                  <c:v>91.272077938642141</c:v>
                </c:pt>
                <c:pt idx="10">
                  <c:v>95</c:v>
                </c:pt>
                <c:pt idx="11">
                  <c:v>99.341257188154628</c:v>
                </c:pt>
                <c:pt idx="12">
                  <c:v>104</c:v>
                </c:pt>
                <c:pt idx="13">
                  <c:v>108.65874281184537</c:v>
                </c:pt>
                <c:pt idx="14">
                  <c:v>113</c:v>
                </c:pt>
                <c:pt idx="15">
                  <c:v>116.72792206135786</c:v>
                </c:pt>
                <c:pt idx="16">
                  <c:v>119.5884572681199</c:v>
                </c:pt>
                <c:pt idx="17">
                  <c:v>121.38666487320323</c:v>
                </c:pt>
                <c:pt idx="18">
                  <c:v>122</c:v>
                </c:pt>
                <c:pt idx="19">
                  <c:v>121.38666487320323</c:v>
                </c:pt>
                <c:pt idx="20">
                  <c:v>119.5884572681199</c:v>
                </c:pt>
                <c:pt idx="21">
                  <c:v>116.72792206135786</c:v>
                </c:pt>
                <c:pt idx="22">
                  <c:v>113</c:v>
                </c:pt>
                <c:pt idx="23">
                  <c:v>108.65874281184537</c:v>
                </c:pt>
                <c:pt idx="24">
                  <c:v>104</c:v>
                </c:pt>
              </c:numCache>
            </c:numRef>
          </c:xVal>
          <c:yVal>
            <c:numRef>
              <c:f>Plot!$D$5:$D$29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1.4115427318801039</c:v>
                </c:pt>
                <c:pt idx="3">
                  <c:v>4.272077938642143</c:v>
                </c:pt>
                <c:pt idx="4">
                  <c:v>7.9999999999999982</c:v>
                </c:pt>
                <c:pt idx="5">
                  <c:v>12.341257188154627</c:v>
                </c:pt>
                <c:pt idx="6">
                  <c:v>17</c:v>
                </c:pt>
                <c:pt idx="7">
                  <c:v>21.658742811845375</c:v>
                </c:pt>
                <c:pt idx="8">
                  <c:v>25.999999999999996</c:v>
                </c:pt>
                <c:pt idx="9">
                  <c:v>29.727922061357855</c:v>
                </c:pt>
                <c:pt idx="10">
                  <c:v>32.588457268119896</c:v>
                </c:pt>
                <c:pt idx="11">
                  <c:v>34.38666487320323</c:v>
                </c:pt>
                <c:pt idx="12">
                  <c:v>35</c:v>
                </c:pt>
                <c:pt idx="13">
                  <c:v>34.38666487320323</c:v>
                </c:pt>
                <c:pt idx="14">
                  <c:v>32.588457268119896</c:v>
                </c:pt>
                <c:pt idx="15">
                  <c:v>29.727922061357859</c:v>
                </c:pt>
                <c:pt idx="16">
                  <c:v>26.000000000000007</c:v>
                </c:pt>
                <c:pt idx="17">
                  <c:v>21.658742811845372</c:v>
                </c:pt>
                <c:pt idx="18">
                  <c:v>17.000000000000004</c:v>
                </c:pt>
                <c:pt idx="19">
                  <c:v>12.341257188154636</c:v>
                </c:pt>
                <c:pt idx="20">
                  <c:v>7.9999999999999982</c:v>
                </c:pt>
                <c:pt idx="21">
                  <c:v>4.2720779386421484</c:v>
                </c:pt>
                <c:pt idx="22">
                  <c:v>1.4115427318801093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Plot!$E$3</c:f>
              <c:strCache>
                <c:ptCount val="1"/>
                <c:pt idx="0">
                  <c:v>Rear Tire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Plot!$E$5:$E$29</c:f>
              <c:numCache>
                <c:formatCode>0.00</c:formatCode>
                <c:ptCount val="25"/>
                <c:pt idx="0">
                  <c:v>0</c:v>
                </c:pt>
                <c:pt idx="1">
                  <c:v>4.6587428118453733</c:v>
                </c:pt>
                <c:pt idx="2">
                  <c:v>8.9999999999999982</c:v>
                </c:pt>
                <c:pt idx="3">
                  <c:v>12.727922061357855</c:v>
                </c:pt>
                <c:pt idx="4">
                  <c:v>15.588457268119894</c:v>
                </c:pt>
                <c:pt idx="5">
                  <c:v>17.38666487320323</c:v>
                </c:pt>
                <c:pt idx="6">
                  <c:v>18</c:v>
                </c:pt>
                <c:pt idx="7">
                  <c:v>17.38666487320323</c:v>
                </c:pt>
                <c:pt idx="8">
                  <c:v>15.588457268119896</c:v>
                </c:pt>
                <c:pt idx="9">
                  <c:v>12.727922061357857</c:v>
                </c:pt>
                <c:pt idx="10">
                  <c:v>8.9999999999999982</c:v>
                </c:pt>
                <c:pt idx="11">
                  <c:v>4.6587428118453786</c:v>
                </c:pt>
                <c:pt idx="12">
                  <c:v>2.205267218835516E-15</c:v>
                </c:pt>
                <c:pt idx="13">
                  <c:v>-4.6587428118453742</c:v>
                </c:pt>
                <c:pt idx="14">
                  <c:v>-9.0000000000000018</c:v>
                </c:pt>
                <c:pt idx="15">
                  <c:v>-12.727922061357855</c:v>
                </c:pt>
                <c:pt idx="16">
                  <c:v>-15.588457268119891</c:v>
                </c:pt>
                <c:pt idx="17">
                  <c:v>-17.38666487320323</c:v>
                </c:pt>
                <c:pt idx="18">
                  <c:v>-18</c:v>
                </c:pt>
                <c:pt idx="19">
                  <c:v>-17.38666487320323</c:v>
                </c:pt>
                <c:pt idx="20">
                  <c:v>-15.588457268119894</c:v>
                </c:pt>
                <c:pt idx="21">
                  <c:v>-12.727922061357859</c:v>
                </c:pt>
                <c:pt idx="22">
                  <c:v>-9.0000000000000071</c:v>
                </c:pt>
                <c:pt idx="23">
                  <c:v>-4.6587428118453724</c:v>
                </c:pt>
                <c:pt idx="24">
                  <c:v>-4.410534437671032E-15</c:v>
                </c:pt>
              </c:numCache>
            </c:numRef>
          </c:xVal>
          <c:yVal>
            <c:numRef>
              <c:f>Plot!$F$5:$F$29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1.4115427318801039</c:v>
                </c:pt>
                <c:pt idx="3">
                  <c:v>4.272077938642143</c:v>
                </c:pt>
                <c:pt idx="4">
                  <c:v>7.9999999999999982</c:v>
                </c:pt>
                <c:pt idx="5">
                  <c:v>12.341257188154627</c:v>
                </c:pt>
                <c:pt idx="6">
                  <c:v>17</c:v>
                </c:pt>
                <c:pt idx="7">
                  <c:v>21.658742811845375</c:v>
                </c:pt>
                <c:pt idx="8">
                  <c:v>25.999999999999996</c:v>
                </c:pt>
                <c:pt idx="9">
                  <c:v>29.727922061357855</c:v>
                </c:pt>
                <c:pt idx="10">
                  <c:v>32.588457268119896</c:v>
                </c:pt>
                <c:pt idx="11">
                  <c:v>34.38666487320323</c:v>
                </c:pt>
                <c:pt idx="12">
                  <c:v>35</c:v>
                </c:pt>
                <c:pt idx="13">
                  <c:v>34.38666487320323</c:v>
                </c:pt>
                <c:pt idx="14">
                  <c:v>32.588457268119896</c:v>
                </c:pt>
                <c:pt idx="15">
                  <c:v>29.727922061357859</c:v>
                </c:pt>
                <c:pt idx="16">
                  <c:v>26.000000000000007</c:v>
                </c:pt>
                <c:pt idx="17">
                  <c:v>21.658742811845372</c:v>
                </c:pt>
                <c:pt idx="18">
                  <c:v>17.000000000000004</c:v>
                </c:pt>
                <c:pt idx="19">
                  <c:v>12.341257188154636</c:v>
                </c:pt>
                <c:pt idx="20">
                  <c:v>7.9999999999999982</c:v>
                </c:pt>
                <c:pt idx="21">
                  <c:v>4.2720779386421484</c:v>
                </c:pt>
                <c:pt idx="22">
                  <c:v>1.4115427318801093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Main!$F$3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Main!$G$4:$G$5</c:f>
              <c:numCache>
                <c:formatCode>#,##0.00</c:formatCode>
                <c:ptCount val="2"/>
                <c:pt idx="0">
                  <c:v>30</c:v>
                </c:pt>
                <c:pt idx="1">
                  <c:v>0</c:v>
                </c:pt>
              </c:numCache>
            </c:numRef>
          </c:xVal>
          <c:yVal>
            <c:numRef>
              <c:f>Main!$I$4:$I$5</c:f>
              <c:numCache>
                <c:formatCode>#,##0.00</c:formatCode>
                <c:ptCount val="2"/>
                <c:pt idx="0">
                  <c:v>25</c:v>
                </c:pt>
                <c:pt idx="1">
                  <c:v>30</c:v>
                </c:pt>
              </c:numCache>
            </c:numRef>
          </c:yVal>
        </c:ser>
        <c:ser>
          <c:idx val="9"/>
          <c:order val="9"/>
          <c:tx>
            <c:strRef>
              <c:f>Main!$F$6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Main!$G$7:$G$8</c:f>
              <c:numCache>
                <c:formatCode>#,##0.00</c:formatCode>
                <c:ptCount val="2"/>
                <c:pt idx="0">
                  <c:v>50</c:v>
                </c:pt>
                <c:pt idx="1">
                  <c:v>3</c:v>
                </c:pt>
              </c:numCache>
            </c:numRef>
          </c:xVal>
          <c:yVal>
            <c:numRef>
              <c:f>Main!$I$7:$I$8</c:f>
              <c:numCache>
                <c:formatCode>#,##0.00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</c:ser>
        <c:ser>
          <c:idx val="10"/>
          <c:order val="10"/>
          <c:tx>
            <c:strRef>
              <c:f>Plot!$G$3</c:f>
              <c:strCache>
                <c:ptCount val="1"/>
                <c:pt idx="0">
                  <c:v>IC Trace Upper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Plot!$G$5:$G$6</c:f>
              <c:numCache>
                <c:formatCode>0.00</c:formatCode>
                <c:ptCount val="2"/>
                <c:pt idx="0">
                  <c:v>30</c:v>
                </c:pt>
                <c:pt idx="1">
                  <c:v>90</c:v>
                </c:pt>
              </c:numCache>
            </c:numRef>
          </c:xVal>
          <c:yVal>
            <c:numRef>
              <c:f>Plot!$H$5:$H$6</c:f>
              <c:numCache>
                <c:formatCode>0.00</c:formatCode>
                <c:ptCount val="2"/>
                <c:pt idx="0">
                  <c:v>25</c:v>
                </c:pt>
                <c:pt idx="1">
                  <c:v>15</c:v>
                </c:pt>
              </c:numCache>
            </c:numRef>
          </c:yVal>
        </c:ser>
        <c:ser>
          <c:idx val="11"/>
          <c:order val="11"/>
          <c:tx>
            <c:strRef>
              <c:f>Plot!$G$7</c:f>
              <c:strCache>
                <c:ptCount val="1"/>
                <c:pt idx="0">
                  <c:v>IC Trace Lower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Plot!$G$9:$G$10</c:f>
              <c:numCache>
                <c:formatCode>0.00</c:formatCode>
                <c:ptCount val="2"/>
                <c:pt idx="0">
                  <c:v>50</c:v>
                </c:pt>
                <c:pt idx="1">
                  <c:v>90</c:v>
                </c:pt>
              </c:numCache>
            </c:numRef>
          </c:xVal>
          <c:yVal>
            <c:numRef>
              <c:f>Plot!$H$9:$H$10</c:f>
              <c:numCache>
                <c:formatCode>0.00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</c:ser>
        <c:ser>
          <c:idx val="12"/>
          <c:order val="12"/>
          <c:tx>
            <c:strRef>
              <c:f>Plot!$G$11</c:f>
              <c:strCache>
                <c:ptCount val="1"/>
                <c:pt idx="0">
                  <c:v>Anti-Squat Line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DotDot"/>
            </a:ln>
          </c:spPr>
          <c:marker>
            <c:symbol val="none"/>
          </c:marker>
          <c:xVal>
            <c:numRef>
              <c:f>Plot!$G$13:$G$15</c:f>
              <c:numCache>
                <c:formatCode>0.00</c:formatCode>
                <c:ptCount val="3"/>
                <c:pt idx="0">
                  <c:v>0</c:v>
                </c:pt>
                <c:pt idx="1">
                  <c:v>90</c:v>
                </c:pt>
                <c:pt idx="2">
                  <c:v>104</c:v>
                </c:pt>
              </c:numCache>
            </c:numRef>
          </c:xVal>
          <c:yVal>
            <c:numRef>
              <c:f>Plot!$H$13:$H$15</c:f>
              <c:numCache>
                <c:formatCode>0.00</c:formatCode>
                <c:ptCount val="3"/>
                <c:pt idx="0">
                  <c:v>0</c:v>
                </c:pt>
                <c:pt idx="1">
                  <c:v>15</c:v>
                </c:pt>
                <c:pt idx="2">
                  <c:v>17.333333333333332</c:v>
                </c:pt>
              </c:numCache>
            </c:numRef>
          </c:yVal>
        </c:ser>
        <c:ser>
          <c:idx val="13"/>
          <c:order val="13"/>
          <c:tx>
            <c:strRef>
              <c:f>Plot!$G$16</c:f>
              <c:strCache>
                <c:ptCount val="1"/>
                <c:pt idx="0">
                  <c:v>Anti-Squat CG</c:v>
                </c:pt>
              </c:strCache>
            </c:strRef>
          </c:tx>
          <c:spPr>
            <a:ln w="12700">
              <a:solidFill>
                <a:srgbClr val="00FFFF"/>
              </a:solidFill>
              <a:prstDash val="lgDash"/>
            </a:ln>
          </c:spPr>
          <c:marker>
            <c:symbol val="none"/>
          </c:marker>
          <c:xVal>
            <c:numRef>
              <c:f>Plot!$G$18:$G$19</c:f>
              <c:numCache>
                <c:formatCode>0.00</c:formatCode>
                <c:ptCount val="2"/>
                <c:pt idx="0">
                  <c:v>-20</c:v>
                </c:pt>
                <c:pt idx="1">
                  <c:v>120</c:v>
                </c:pt>
              </c:numCache>
            </c:numRef>
          </c:xVal>
          <c:yVal>
            <c:numRef>
              <c:f>Plot!$H$18:$H$19</c:f>
              <c:numCache>
                <c:formatCode>0.00</c:formatCode>
                <c:ptCount val="2"/>
                <c:pt idx="0">
                  <c:v>27.395348837209301</c:v>
                </c:pt>
                <c:pt idx="1">
                  <c:v>27.395348837209301</c:v>
                </c:pt>
              </c:numCache>
            </c:numRef>
          </c:yVal>
        </c:ser>
        <c:ser>
          <c:idx val="14"/>
          <c:order val="14"/>
          <c:tx>
            <c:strRef>
              <c:f>Plot!$G$20</c:f>
              <c:strCache>
                <c:ptCount val="1"/>
                <c:pt idx="0">
                  <c:v>100% AS Line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xVal>
            <c:numRef>
              <c:f>Plot!$G$22:$G$23</c:f>
              <c:numCache>
                <c:formatCode>0.00</c:formatCode>
                <c:ptCount val="2"/>
                <c:pt idx="0">
                  <c:v>0</c:v>
                </c:pt>
                <c:pt idx="1">
                  <c:v>104</c:v>
                </c:pt>
              </c:numCache>
            </c:numRef>
          </c:xVal>
          <c:yVal>
            <c:numRef>
              <c:f>Plot!$H$22:$H$23</c:f>
              <c:numCache>
                <c:formatCode>0.00</c:formatCode>
                <c:ptCount val="2"/>
                <c:pt idx="0">
                  <c:v>0</c:v>
                </c:pt>
                <c:pt idx="1">
                  <c:v>27.395348837209301</c:v>
                </c:pt>
              </c:numCache>
            </c:numRef>
          </c:yVal>
        </c:ser>
        <c:ser>
          <c:idx val="16"/>
          <c:order val="15"/>
          <c:tx>
            <c:v>Roll Center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Plot!$G$27</c:f>
              <c:numCache>
                <c:formatCode>0.00</c:formatCode>
                <c:ptCount val="1"/>
                <c:pt idx="0">
                  <c:v>0</c:v>
                </c:pt>
              </c:numCache>
            </c:numRef>
          </c:xVal>
          <c:yVal>
            <c:numRef>
              <c:f>Plot!$H$27</c:f>
              <c:numCache>
                <c:formatCode>0.00</c:formatCode>
                <c:ptCount val="1"/>
                <c:pt idx="0">
                  <c:v>28.728222996515679</c:v>
                </c:pt>
              </c:numCache>
            </c:numRef>
          </c:yVal>
        </c:ser>
        <c:ser>
          <c:idx val="17"/>
          <c:order val="16"/>
          <c:tx>
            <c:v>Instant Center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FFFFFF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VectorCalculations!$C$35</c:f>
              <c:numCache>
                <c:formatCode>0.000</c:formatCode>
                <c:ptCount val="1"/>
                <c:pt idx="0">
                  <c:v>90</c:v>
                </c:pt>
              </c:numCache>
            </c:numRef>
          </c:xVal>
          <c:yVal>
            <c:numRef>
              <c:f>VectorCalculations!$C$36</c:f>
              <c:numCache>
                <c:formatCode>0.000</c:formatCode>
                <c:ptCount val="1"/>
                <c:pt idx="0">
                  <c:v>15</c:v>
                </c:pt>
              </c:numCache>
            </c:numRef>
          </c:yVal>
        </c:ser>
        <c:ser>
          <c:idx val="18"/>
          <c:order val="17"/>
          <c:tx>
            <c:strRef>
              <c:f>Plot!$I$4</c:f>
              <c:strCache>
                <c:ptCount val="1"/>
                <c:pt idx="0">
                  <c:v>Rear Axle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Plot!$I$6:$I$18</c:f>
              <c:numCache>
                <c:formatCode>0.00</c:formatCode>
                <c:ptCount val="13"/>
                <c:pt idx="0">
                  <c:v>0</c:v>
                </c:pt>
                <c:pt idx="1">
                  <c:v>0.93749999999999989</c:v>
                </c:pt>
                <c:pt idx="2">
                  <c:v>1.6237976320958223</c:v>
                </c:pt>
                <c:pt idx="3">
                  <c:v>1.875</c:v>
                </c:pt>
                <c:pt idx="4">
                  <c:v>1.6237976320958225</c:v>
                </c:pt>
                <c:pt idx="5">
                  <c:v>0.93749999999999989</c:v>
                </c:pt>
                <c:pt idx="6">
                  <c:v>2.2971533529536625E-16</c:v>
                </c:pt>
                <c:pt idx="7">
                  <c:v>-0.93750000000000022</c:v>
                </c:pt>
                <c:pt idx="8">
                  <c:v>-1.6237976320958221</c:v>
                </c:pt>
                <c:pt idx="9">
                  <c:v>-1.875</c:v>
                </c:pt>
                <c:pt idx="10">
                  <c:v>-1.6237976320958223</c:v>
                </c:pt>
                <c:pt idx="11">
                  <c:v>-0.93750000000000089</c:v>
                </c:pt>
                <c:pt idx="12">
                  <c:v>-4.594306705907325E-16</c:v>
                </c:pt>
              </c:numCache>
            </c:numRef>
          </c:xVal>
          <c:yVal>
            <c:numRef>
              <c:f>Plot!$J$6:$J$18</c:f>
              <c:numCache>
                <c:formatCode>0.00</c:formatCode>
                <c:ptCount val="13"/>
                <c:pt idx="0">
                  <c:v>18.875</c:v>
                </c:pt>
                <c:pt idx="1">
                  <c:v>18.623797632095823</c:v>
                </c:pt>
                <c:pt idx="2">
                  <c:v>17.9375</c:v>
                </c:pt>
                <c:pt idx="3">
                  <c:v>17</c:v>
                </c:pt>
                <c:pt idx="4">
                  <c:v>16.0625</c:v>
                </c:pt>
                <c:pt idx="5">
                  <c:v>15.376202367904177</c:v>
                </c:pt>
                <c:pt idx="6">
                  <c:v>15.125</c:v>
                </c:pt>
                <c:pt idx="7">
                  <c:v>15.376202367904177</c:v>
                </c:pt>
                <c:pt idx="8">
                  <c:v>16.0625</c:v>
                </c:pt>
                <c:pt idx="9">
                  <c:v>17</c:v>
                </c:pt>
                <c:pt idx="10">
                  <c:v>17.9375</c:v>
                </c:pt>
                <c:pt idx="11">
                  <c:v>18.623797632095823</c:v>
                </c:pt>
                <c:pt idx="12">
                  <c:v>18.875</c:v>
                </c:pt>
              </c:numCache>
            </c:numRef>
          </c:yVal>
        </c:ser>
        <c:ser>
          <c:idx val="15"/>
          <c:order val="18"/>
          <c:tx>
            <c:strRef>
              <c:f>Plot!$G$24</c:f>
              <c:strCache>
                <c:ptCount val="1"/>
                <c:pt idx="0">
                  <c:v>Roll Axis</c:v>
                </c:pt>
              </c:strCache>
            </c:strRef>
          </c:tx>
          <c:spPr>
            <a:ln w="25400">
              <a:solidFill>
                <a:srgbClr val="FF9900"/>
              </a:solidFill>
              <a:prstDash val="lgDashDot"/>
            </a:ln>
          </c:spPr>
          <c:marker>
            <c:symbol val="none"/>
          </c:marker>
          <c:xVal>
            <c:numRef>
              <c:f>Plot!$G$26:$G$28</c:f>
              <c:numCache>
                <c:formatCode>0.00</c:formatCode>
                <c:ptCount val="3"/>
                <c:pt idx="0">
                  <c:v>-30</c:v>
                </c:pt>
                <c:pt idx="1">
                  <c:v>0</c:v>
                </c:pt>
                <c:pt idx="2">
                  <c:v>65.666666666666657</c:v>
                </c:pt>
              </c:numCache>
            </c:numRef>
          </c:xVal>
          <c:yVal>
            <c:numRef>
              <c:f>Plot!$H$26:$H$28</c:f>
              <c:numCache>
                <c:formatCode>0.00</c:formatCode>
                <c:ptCount val="3"/>
                <c:pt idx="0">
                  <c:v>35</c:v>
                </c:pt>
                <c:pt idx="1">
                  <c:v>28.728222996515679</c:v>
                </c:pt>
                <c:pt idx="2">
                  <c:v>15</c:v>
                </c:pt>
              </c:numCache>
            </c:numRef>
          </c:yVal>
        </c:ser>
        <c:axId val="90158208"/>
        <c:axId val="90159744"/>
      </c:scatterChart>
      <c:valAx>
        <c:axId val="90158208"/>
        <c:scaling>
          <c:orientation val="minMax"/>
          <c:max val="140"/>
          <c:min val="-2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159744"/>
        <c:crossesAt val="0"/>
        <c:crossBetween val="midCat"/>
        <c:majorUnit val="20"/>
        <c:minorUnit val="5"/>
      </c:valAx>
      <c:valAx>
        <c:axId val="90159744"/>
        <c:scaling>
          <c:orientation val="minMax"/>
          <c:max val="12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none"/>
        <c:tickLblPos val="none"/>
        <c:spPr>
          <a:ln w="9525">
            <a:noFill/>
          </a:ln>
        </c:spPr>
        <c:crossAx val="90158208"/>
        <c:crossesAt val="0"/>
        <c:crossBetween val="midCat"/>
        <c:majorUnit val="20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7"/>
        <c:delete val="1"/>
      </c:legendEntry>
      <c:layout>
        <c:manualLayout>
          <c:xMode val="edge"/>
          <c:yMode val="edge"/>
          <c:x val="6.7708382530853664E-2"/>
          <c:y val="7.9286460568971338E-3"/>
          <c:w val="0.86458396154782358"/>
          <c:h val="2.675918044202782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76200</xdr:rowOff>
    </xdr:from>
    <xdr:to>
      <xdr:col>17</xdr:col>
      <xdr:colOff>990600</xdr:colOff>
      <xdr:row>50</xdr:row>
      <xdr:rowOff>19050</xdr:rowOff>
    </xdr:to>
    <xdr:graphicFrame macro="">
      <xdr:nvGraphicFramePr>
        <xdr:cNvPr id="1160" name="Chart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9525</xdr:rowOff>
    </xdr:from>
    <xdr:to>
      <xdr:col>12</xdr:col>
      <xdr:colOff>209550</xdr:colOff>
      <xdr:row>42</xdr:row>
      <xdr:rowOff>114300</xdr:rowOff>
    </xdr:to>
    <xdr:pic>
      <xdr:nvPicPr>
        <xdr:cNvPr id="3075" name="Picture 3" descr="CordSys4Link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50" y="266700"/>
          <a:ext cx="6877050" cy="67722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29</xdr:row>
      <xdr:rowOff>47625</xdr:rowOff>
    </xdr:from>
    <xdr:to>
      <xdr:col>21</xdr:col>
      <xdr:colOff>619125</xdr:colOff>
      <xdr:row>88</xdr:row>
      <xdr:rowOff>104775</xdr:rowOff>
    </xdr:to>
    <xdr:graphicFrame macro="">
      <xdr:nvGraphicFramePr>
        <xdr:cNvPr id="41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R56"/>
  <sheetViews>
    <sheetView showGridLines="0" tabSelected="1" workbookViewId="0">
      <selection activeCell="C6" sqref="C6"/>
    </sheetView>
  </sheetViews>
  <sheetFormatPr defaultColWidth="15.140625" defaultRowHeight="14.25" customHeight="1"/>
  <cols>
    <col min="1" max="1" width="1.42578125" style="10" customWidth="1"/>
    <col min="2" max="2" width="18.5703125" style="9" customWidth="1"/>
    <col min="3" max="3" width="7.140625" style="10" customWidth="1"/>
    <col min="4" max="5" width="3.5703125" style="10" customWidth="1"/>
    <col min="6" max="6" width="14.28515625" style="10" customWidth="1"/>
    <col min="7" max="9" width="7.140625" style="10" customWidth="1"/>
    <col min="10" max="11" width="3.5703125" style="10" customWidth="1"/>
    <col min="12" max="12" width="18.7109375" style="10" bestFit="1" customWidth="1"/>
    <col min="13" max="13" width="8.7109375" style="10" customWidth="1"/>
    <col min="14" max="16" width="14.28515625" style="10" customWidth="1"/>
    <col min="17" max="17" width="3.5703125" style="10" customWidth="1"/>
    <col min="18" max="16384" width="15.140625" style="10"/>
  </cols>
  <sheetData>
    <row r="1" spans="1:18" ht="20.25">
      <c r="B1" s="56" t="s">
        <v>138</v>
      </c>
      <c r="F1" s="57"/>
      <c r="G1" s="57"/>
      <c r="O1" s="138"/>
      <c r="P1" s="58" t="s">
        <v>31</v>
      </c>
    </row>
    <row r="2" spans="1:18" ht="15.75">
      <c r="B2" s="33" t="s">
        <v>33</v>
      </c>
      <c r="F2" s="33" t="s">
        <v>34</v>
      </c>
      <c r="G2" s="36"/>
      <c r="H2" s="11"/>
      <c r="I2" s="11"/>
      <c r="J2" s="11"/>
      <c r="K2" s="25"/>
      <c r="L2" s="33" t="s">
        <v>88</v>
      </c>
      <c r="O2" s="24"/>
    </row>
    <row r="3" spans="1:18" ht="14.25" customHeight="1">
      <c r="B3" s="75" t="s">
        <v>2</v>
      </c>
      <c r="C3" s="76">
        <v>104</v>
      </c>
      <c r="D3" s="61" t="s">
        <v>10</v>
      </c>
      <c r="F3" s="38" t="s">
        <v>4</v>
      </c>
      <c r="G3" s="64" t="s">
        <v>1</v>
      </c>
      <c r="H3" s="64" t="s">
        <v>0</v>
      </c>
      <c r="I3" s="64" t="s">
        <v>5</v>
      </c>
      <c r="J3" s="65"/>
      <c r="K3" s="25"/>
      <c r="L3" s="75" t="s">
        <v>8</v>
      </c>
      <c r="M3" s="78">
        <f>VectorCalculations!C31</f>
        <v>63.271080928126764</v>
      </c>
      <c r="N3" s="60" t="s">
        <v>7</v>
      </c>
      <c r="O3" s="50"/>
      <c r="P3" s="59"/>
    </row>
    <row r="4" spans="1:18" ht="14.25" customHeight="1">
      <c r="B4" s="14" t="s">
        <v>3</v>
      </c>
      <c r="C4" s="34">
        <v>36</v>
      </c>
      <c r="D4" s="42" t="s">
        <v>10</v>
      </c>
      <c r="E4" s="11"/>
      <c r="F4" s="14" t="s">
        <v>24</v>
      </c>
      <c r="G4" s="73">
        <v>30</v>
      </c>
      <c r="H4" s="73">
        <v>20</v>
      </c>
      <c r="I4" s="73">
        <v>25</v>
      </c>
      <c r="J4" s="40" t="s">
        <v>10</v>
      </c>
      <c r="L4" s="14" t="s">
        <v>70</v>
      </c>
      <c r="M4" s="72">
        <f>VectorCalculations!C33</f>
        <v>28.728222996515679</v>
      </c>
      <c r="N4" s="24" t="s">
        <v>10</v>
      </c>
      <c r="O4" s="24"/>
      <c r="P4" s="12"/>
      <c r="R4" s="17" t="s">
        <v>135</v>
      </c>
    </row>
    <row r="5" spans="1:18" ht="14.25" customHeight="1">
      <c r="B5" s="14" t="s">
        <v>87</v>
      </c>
      <c r="C5" s="32">
        <v>17</v>
      </c>
      <c r="D5" s="42" t="s">
        <v>10</v>
      </c>
      <c r="E5" s="11"/>
      <c r="F5" s="14" t="s">
        <v>25</v>
      </c>
      <c r="G5" s="73">
        <v>0</v>
      </c>
      <c r="H5" s="73">
        <v>10</v>
      </c>
      <c r="I5" s="73">
        <v>30</v>
      </c>
      <c r="J5" s="40" t="s">
        <v>10</v>
      </c>
      <c r="L5" s="14" t="s">
        <v>71</v>
      </c>
      <c r="M5" s="79">
        <f>VectorCalculations!C34</f>
        <v>-11.808144086633858</v>
      </c>
      <c r="N5" s="89" t="str">
        <f>IF(M5&lt;0,"degrees (Roll Understeer)","degrees (Roll Oversteer)")</f>
        <v>degrees (Roll Understeer)</v>
      </c>
      <c r="O5" s="24"/>
      <c r="P5" s="12"/>
      <c r="R5" s="17" t="s">
        <v>42</v>
      </c>
    </row>
    <row r="6" spans="1:18" ht="14.25" customHeight="1">
      <c r="B6" s="14" t="s">
        <v>127</v>
      </c>
      <c r="C6" s="34">
        <v>25.94</v>
      </c>
      <c r="D6" s="42" t="s">
        <v>10</v>
      </c>
      <c r="E6" s="11"/>
      <c r="F6" s="51" t="s">
        <v>6</v>
      </c>
      <c r="G6" s="17" t="s">
        <v>1</v>
      </c>
      <c r="H6" s="17" t="s">
        <v>0</v>
      </c>
      <c r="I6" s="17" t="s">
        <v>5</v>
      </c>
      <c r="J6" s="40"/>
      <c r="L6" s="14" t="s">
        <v>32</v>
      </c>
      <c r="M6" s="27">
        <f>VectorCalculations!C35</f>
        <v>90</v>
      </c>
      <c r="N6" s="10" t="s">
        <v>10</v>
      </c>
      <c r="O6" s="24"/>
      <c r="P6" s="12"/>
      <c r="R6" s="17" t="s">
        <v>67</v>
      </c>
    </row>
    <row r="7" spans="1:18" ht="14.25" customHeight="1">
      <c r="B7" s="81" t="s">
        <v>129</v>
      </c>
      <c r="C7" s="74">
        <v>5000</v>
      </c>
      <c r="D7" s="42" t="s">
        <v>11</v>
      </c>
      <c r="E7" s="11"/>
      <c r="F7" s="14" t="s">
        <v>24</v>
      </c>
      <c r="G7" s="73">
        <v>50</v>
      </c>
      <c r="H7" s="73">
        <v>5</v>
      </c>
      <c r="I7" s="73">
        <v>15</v>
      </c>
      <c r="J7" s="40" t="s">
        <v>10</v>
      </c>
      <c r="L7" s="14" t="s">
        <v>43</v>
      </c>
      <c r="M7" s="27">
        <f>VectorCalculations!C36</f>
        <v>15</v>
      </c>
      <c r="N7" s="10" t="s">
        <v>10</v>
      </c>
      <c r="P7" s="12"/>
      <c r="R7" s="17" t="s">
        <v>142</v>
      </c>
    </row>
    <row r="8" spans="1:18" ht="14.25" customHeight="1">
      <c r="A8" s="12"/>
      <c r="B8" s="9" t="s">
        <v>150</v>
      </c>
      <c r="C8" s="213">
        <v>800</v>
      </c>
      <c r="D8" s="12" t="s">
        <v>11</v>
      </c>
      <c r="E8" s="11"/>
      <c r="F8" s="18" t="s">
        <v>25</v>
      </c>
      <c r="G8" s="77">
        <v>3</v>
      </c>
      <c r="H8" s="77">
        <v>20</v>
      </c>
      <c r="I8" s="77">
        <v>15</v>
      </c>
      <c r="J8" s="62" t="s">
        <v>10</v>
      </c>
      <c r="K8" s="25"/>
      <c r="L8" s="80"/>
      <c r="M8" s="6"/>
      <c r="N8" s="6"/>
      <c r="O8" s="6"/>
      <c r="P8" s="13"/>
    </row>
    <row r="9" spans="1:18" ht="14.25" customHeight="1">
      <c r="A9" s="12"/>
      <c r="B9" s="18" t="s">
        <v>128</v>
      </c>
      <c r="C9" s="214">
        <v>700</v>
      </c>
      <c r="D9" s="13" t="s">
        <v>11</v>
      </c>
      <c r="E9" s="11"/>
      <c r="K9" s="25"/>
      <c r="L9" s="27"/>
      <c r="M9" s="17"/>
      <c r="N9" s="24"/>
      <c r="O9" s="24"/>
    </row>
    <row r="10" spans="1:18" ht="14.25" customHeight="1">
      <c r="C10" s="5"/>
      <c r="E10" s="11"/>
      <c r="F10" s="11"/>
      <c r="G10" s="11"/>
      <c r="H10" s="11"/>
      <c r="J10" s="24"/>
      <c r="K10" s="25"/>
      <c r="L10" s="27"/>
      <c r="M10" s="17"/>
      <c r="N10" s="24"/>
      <c r="O10" s="24"/>
    </row>
    <row r="11" spans="1:18" ht="14.25" customHeight="1">
      <c r="C11" s="5"/>
      <c r="H11" s="11"/>
      <c r="J11" s="24"/>
      <c r="K11" s="25"/>
      <c r="L11" s="27"/>
      <c r="M11" s="17"/>
      <c r="N11" s="24"/>
      <c r="O11" s="24"/>
    </row>
    <row r="12" spans="1:18" ht="14.25" customHeight="1">
      <c r="C12" s="5"/>
      <c r="H12" s="11"/>
      <c r="J12" s="24"/>
      <c r="K12" s="25"/>
      <c r="L12" s="27"/>
      <c r="M12" s="17"/>
      <c r="N12" s="24"/>
      <c r="O12" s="24"/>
    </row>
    <row r="13" spans="1:18" ht="14.25" customHeight="1">
      <c r="C13" s="5"/>
      <c r="H13" s="11"/>
      <c r="J13" s="24"/>
      <c r="K13" s="25"/>
      <c r="L13" s="27"/>
      <c r="M13" s="17"/>
      <c r="N13" s="24"/>
      <c r="O13" s="24"/>
    </row>
    <row r="14" spans="1:18" ht="14.25" customHeight="1">
      <c r="H14" s="11"/>
      <c r="J14" s="24"/>
      <c r="K14" s="25"/>
      <c r="L14" s="27"/>
      <c r="M14" s="17"/>
      <c r="N14" s="24"/>
      <c r="O14" s="24"/>
    </row>
    <row r="15" spans="1:18" ht="14.25" customHeight="1">
      <c r="H15" s="11"/>
      <c r="J15" s="24"/>
      <c r="K15" s="25"/>
      <c r="L15" s="27"/>
      <c r="M15" s="17"/>
      <c r="N15" s="24"/>
      <c r="O15" s="24"/>
    </row>
    <row r="16" spans="1:18" ht="14.25" customHeight="1">
      <c r="H16" s="11"/>
      <c r="J16" s="24"/>
      <c r="K16" s="25"/>
      <c r="L16" s="27"/>
      <c r="M16" s="24"/>
      <c r="N16" s="24"/>
      <c r="O16" s="24"/>
    </row>
    <row r="17" spans="8:15" ht="14.25" customHeight="1">
      <c r="H17" s="9"/>
      <c r="N17" s="24"/>
      <c r="O17" s="24"/>
    </row>
    <row r="18" spans="8:15" ht="14.25" customHeight="1">
      <c r="H18" s="9"/>
      <c r="N18" s="24"/>
      <c r="O18" s="24"/>
    </row>
    <row r="19" spans="8:15" ht="14.25" customHeight="1">
      <c r="H19" s="9"/>
      <c r="N19" s="24"/>
      <c r="O19" s="24"/>
    </row>
    <row r="53" spans="4:5" ht="14.25" customHeight="1">
      <c r="D53" s="5"/>
      <c r="E53" s="5"/>
    </row>
    <row r="54" spans="4:5" ht="14.25" customHeight="1">
      <c r="D54" s="5"/>
      <c r="E54" s="5"/>
    </row>
    <row r="55" spans="4:5" ht="14.25" customHeight="1">
      <c r="D55" s="5"/>
      <c r="E55" s="5"/>
    </row>
    <row r="56" spans="4:5" ht="14.25" customHeight="1">
      <c r="D56" s="5"/>
      <c r="E56" s="5"/>
    </row>
  </sheetData>
  <sheetProtection sheet="1" objects="1" scenarios="1"/>
  <phoneticPr fontId="0" type="noConversion"/>
  <printOptions horizontalCentered="1" verticalCentered="1"/>
  <pageMargins left="0.5" right="0.5" top="0.5" bottom="0.5" header="0.5" footer="0.5"/>
  <pageSetup scale="61" orientation="landscape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B1:AL36"/>
  <sheetViews>
    <sheetView showGridLines="0" workbookViewId="0">
      <selection activeCell="F42" sqref="F42"/>
    </sheetView>
  </sheetViews>
  <sheetFormatPr defaultColWidth="15.140625" defaultRowHeight="12.75"/>
  <cols>
    <col min="1" max="1" width="1.42578125" style="95" customWidth="1"/>
    <col min="2" max="2" width="18.5703125" style="86" customWidth="1"/>
    <col min="3" max="6" width="10.7109375" style="95" customWidth="1"/>
    <col min="7" max="7" width="2.85546875" style="95" customWidth="1"/>
    <col min="8" max="8" width="18.5703125" style="95" customWidth="1"/>
    <col min="9" max="11" width="15.140625" style="95" customWidth="1"/>
    <col min="12" max="12" width="17.42578125" style="95" bestFit="1" customWidth="1"/>
    <col min="13" max="16384" width="15.140625" style="95"/>
  </cols>
  <sheetData>
    <row r="1" spans="2:38" ht="20.25">
      <c r="B1" s="114" t="str">
        <f>Main!B1</f>
        <v>4 Bar Linkage Calculator v3.0</v>
      </c>
      <c r="E1" s="115"/>
      <c r="F1" s="115"/>
      <c r="H1" s="116"/>
      <c r="I1" s="117" t="s">
        <v>117</v>
      </c>
    </row>
    <row r="2" spans="2:38">
      <c r="B2" s="86" t="s">
        <v>134</v>
      </c>
      <c r="C2" s="209">
        <f>Main!C6</f>
        <v>25.94</v>
      </c>
      <c r="G2" s="103"/>
      <c r="I2" s="89"/>
      <c r="J2" s="93"/>
      <c r="K2" s="96"/>
      <c r="L2" s="89"/>
      <c r="M2" s="89"/>
    </row>
    <row r="3" spans="2:38">
      <c r="B3" s="86" t="s">
        <v>132</v>
      </c>
      <c r="C3" s="208">
        <f>(Vehicle_CG_Height*Vehicle_Mass-Front_Unsprung_Mass*Tire_Rolling_Radius-Rear_Unsprung_Mass*Tire_Rolling_Radius)/(Vehicle_Mass-Front_Unsprung_Mass-Rear_Unsprung_Mass)</f>
        <v>29.771428571428572</v>
      </c>
      <c r="D3" s="95" t="s">
        <v>10</v>
      </c>
      <c r="E3" s="208"/>
      <c r="G3" s="86"/>
      <c r="H3" s="17" t="s">
        <v>135</v>
      </c>
      <c r="M3" s="89"/>
    </row>
    <row r="4" spans="2:38">
      <c r="B4" s="86" t="s">
        <v>133</v>
      </c>
      <c r="C4" s="208">
        <f>(Vehicle_CG_Height*Vehicle_Mass-Rear_Unsprung_Mass*Tire_Rolling_Radius)/(Vehicle_Mass-Rear_Unsprung_Mass)</f>
        <v>27.395348837209301</v>
      </c>
      <c r="D4" s="95" t="s">
        <v>10</v>
      </c>
      <c r="G4" s="86"/>
      <c r="H4" s="98" t="s">
        <v>42</v>
      </c>
      <c r="M4" s="89"/>
    </row>
    <row r="5" spans="2:38" ht="15.75">
      <c r="B5" s="118" t="s">
        <v>34</v>
      </c>
      <c r="C5" s="93"/>
      <c r="D5" s="103"/>
      <c r="E5" s="103"/>
      <c r="F5" s="103"/>
      <c r="G5" s="86"/>
      <c r="H5" s="98" t="s">
        <v>67</v>
      </c>
      <c r="M5" s="89"/>
    </row>
    <row r="6" spans="2:38" ht="15.75">
      <c r="B6" s="87" t="s">
        <v>4</v>
      </c>
      <c r="C6" s="84" t="s">
        <v>1</v>
      </c>
      <c r="D6" s="84" t="s">
        <v>0</v>
      </c>
      <c r="E6" s="84" t="s">
        <v>5</v>
      </c>
      <c r="F6" s="85"/>
      <c r="G6" s="86"/>
      <c r="H6" s="17" t="s">
        <v>142</v>
      </c>
      <c r="M6" s="89"/>
    </row>
    <row r="7" spans="2:38">
      <c r="B7" s="91" t="s">
        <v>24</v>
      </c>
      <c r="C7" s="119">
        <f>Main!G4</f>
        <v>30</v>
      </c>
      <c r="D7" s="119">
        <f>Main!H4</f>
        <v>20</v>
      </c>
      <c r="E7" s="119">
        <f>Main!I4</f>
        <v>25</v>
      </c>
      <c r="F7" s="90" t="s">
        <v>10</v>
      </c>
      <c r="G7" s="86"/>
      <c r="M7" s="89"/>
    </row>
    <row r="8" spans="2:38" s="109" customFormat="1">
      <c r="B8" s="91" t="s">
        <v>25</v>
      </c>
      <c r="C8" s="119">
        <f>Main!G5</f>
        <v>0</v>
      </c>
      <c r="D8" s="119">
        <f>Main!H5</f>
        <v>10</v>
      </c>
      <c r="E8" s="119">
        <f>Main!I5</f>
        <v>30</v>
      </c>
      <c r="F8" s="90" t="s">
        <v>10</v>
      </c>
      <c r="G8" s="108"/>
      <c r="M8" s="24"/>
    </row>
    <row r="9" spans="2:38" s="109" customFormat="1">
      <c r="B9" s="91" t="s">
        <v>13</v>
      </c>
      <c r="C9" s="92">
        <f>(C7-C8)</f>
        <v>30</v>
      </c>
      <c r="D9" s="92">
        <f>(D7-D8)</f>
        <v>10</v>
      </c>
      <c r="E9" s="92">
        <f>(E7-E8)</f>
        <v>-5</v>
      </c>
      <c r="F9" s="90" t="s">
        <v>10</v>
      </c>
      <c r="G9" s="108"/>
      <c r="M9" s="24"/>
    </row>
    <row r="10" spans="2:38" s="109" customFormat="1">
      <c r="B10" s="94" t="s">
        <v>112</v>
      </c>
      <c r="C10" s="93">
        <f>(C9^2+D9^2+E9^2)^(0.5)</f>
        <v>32.015621187164243</v>
      </c>
      <c r="D10" s="89" t="s">
        <v>10</v>
      </c>
      <c r="E10" s="93"/>
      <c r="F10" s="90"/>
      <c r="G10" s="108"/>
      <c r="M10" s="24"/>
    </row>
    <row r="11" spans="2:38">
      <c r="B11" s="30" t="s">
        <v>14</v>
      </c>
      <c r="C11" s="25">
        <f>(C9/$C$10)</f>
        <v>0.93704257133163638</v>
      </c>
      <c r="D11" s="25">
        <f>(D9/$C$10)</f>
        <v>0.31234752377721214</v>
      </c>
      <c r="E11" s="25">
        <f>(E9/$C$10)</f>
        <v>-0.15617376188860607</v>
      </c>
      <c r="F11" s="26">
        <f>(C11^2+D11^2+E11^2)^0.5</f>
        <v>1</v>
      </c>
      <c r="G11" s="86"/>
      <c r="M11" s="89"/>
    </row>
    <row r="12" spans="2:38">
      <c r="B12" s="30" t="s">
        <v>15</v>
      </c>
      <c r="C12" s="25">
        <f>IF(ISERROR(INTERCEPT(C7:C8,D7:D8)),"Parallel",(INTERCEPT(C7:C8,D7:D8)))</f>
        <v>-30</v>
      </c>
      <c r="D12" s="25">
        <f>INTERCEPT(D7:D8,C7:C8)</f>
        <v>10</v>
      </c>
      <c r="E12" s="25">
        <f>INTERCEPT(E7:E8,C7:C8)</f>
        <v>30</v>
      </c>
      <c r="F12" s="110" t="s">
        <v>10</v>
      </c>
      <c r="G12" s="86"/>
      <c r="M12" s="89"/>
    </row>
    <row r="13" spans="2:38" s="109" customFormat="1">
      <c r="B13" s="30" t="s">
        <v>16</v>
      </c>
      <c r="C13" s="25">
        <f>(C12)</f>
        <v>-30</v>
      </c>
      <c r="D13" s="25">
        <v>0</v>
      </c>
      <c r="E13" s="25">
        <f>IF(C12="Parallel","N/A",(C17*C12+E12))</f>
        <v>35</v>
      </c>
      <c r="F13" s="110" t="s">
        <v>10</v>
      </c>
      <c r="G13" s="108"/>
      <c r="M13" s="24"/>
    </row>
    <row r="14" spans="2:38" s="109" customFormat="1">
      <c r="B14" s="91" t="s">
        <v>113</v>
      </c>
      <c r="C14" s="96">
        <f>((Main!C7/2)*E20)/(C11*(E8-E20)+E11*C8)</f>
        <v>2667.9684322636867</v>
      </c>
      <c r="D14" s="120" t="str">
        <f>IF(C14&lt;0,"lb (Compression)","lb (Tension)")</f>
        <v>lb (Tension)</v>
      </c>
      <c r="E14" s="98"/>
      <c r="F14" s="90"/>
      <c r="G14" s="108"/>
      <c r="M14" s="24"/>
      <c r="AE14" s="111"/>
      <c r="AF14" s="111"/>
      <c r="AG14" s="111"/>
      <c r="AL14" s="111"/>
    </row>
    <row r="15" spans="2:38">
      <c r="B15" s="94" t="s">
        <v>114</v>
      </c>
      <c r="C15" s="93">
        <f>($C14*C11)</f>
        <v>2499.9999999999995</v>
      </c>
      <c r="D15" s="93">
        <f>($C14*D11)</f>
        <v>833.33333333333326</v>
      </c>
      <c r="E15" s="93">
        <f>($C14*E11)</f>
        <v>-416.66666666666663</v>
      </c>
      <c r="F15" s="90" t="s">
        <v>11</v>
      </c>
      <c r="I15" s="89"/>
      <c r="M15" s="89"/>
    </row>
    <row r="16" spans="2:38">
      <c r="B16" s="30" t="s">
        <v>90</v>
      </c>
      <c r="C16" s="111">
        <f>(D7-D8)/(C7-C8)</f>
        <v>0.33333333333333331</v>
      </c>
      <c r="D16" s="24" t="s">
        <v>9</v>
      </c>
      <c r="E16" s="25"/>
      <c r="F16" s="110"/>
      <c r="I16" s="89"/>
      <c r="J16" s="127"/>
      <c r="M16" s="89"/>
    </row>
    <row r="17" spans="2:38">
      <c r="B17" s="112" t="s">
        <v>89</v>
      </c>
      <c r="C17" s="132">
        <f>(E7-E8)/(C7-C8)</f>
        <v>-0.16666666666666666</v>
      </c>
      <c r="D17" s="113" t="s">
        <v>9</v>
      </c>
      <c r="E17" s="29"/>
      <c r="F17" s="133"/>
      <c r="I17" s="89"/>
      <c r="J17" s="93"/>
      <c r="K17" s="96"/>
      <c r="M17" s="89"/>
    </row>
    <row r="18" spans="2:38" ht="15.75">
      <c r="B18" s="126" t="s">
        <v>6</v>
      </c>
      <c r="C18" s="84" t="s">
        <v>1</v>
      </c>
      <c r="D18" s="84" t="s">
        <v>0</v>
      </c>
      <c r="E18" s="84" t="s">
        <v>5</v>
      </c>
      <c r="F18" s="85"/>
      <c r="M18" s="89"/>
    </row>
    <row r="19" spans="2:38" s="96" customFormat="1">
      <c r="B19" s="91" t="s">
        <v>24</v>
      </c>
      <c r="C19" s="119">
        <f>Main!G7</f>
        <v>50</v>
      </c>
      <c r="D19" s="119">
        <f>Main!H7</f>
        <v>5</v>
      </c>
      <c r="E19" s="119">
        <f>Main!I7</f>
        <v>15</v>
      </c>
      <c r="F19" s="90" t="s">
        <v>10</v>
      </c>
      <c r="I19" s="95"/>
      <c r="J19" s="95"/>
      <c r="K19" s="95"/>
      <c r="M19" s="89"/>
      <c r="AE19" s="95"/>
      <c r="AF19" s="95"/>
      <c r="AG19" s="95"/>
      <c r="AL19" s="95"/>
    </row>
    <row r="20" spans="2:38" s="111" customFormat="1">
      <c r="B20" s="91" t="s">
        <v>25</v>
      </c>
      <c r="C20" s="119">
        <f>Main!G8</f>
        <v>3</v>
      </c>
      <c r="D20" s="119">
        <f>Main!H8</f>
        <v>20</v>
      </c>
      <c r="E20" s="119">
        <f>Main!I8</f>
        <v>15</v>
      </c>
      <c r="F20" s="90" t="s">
        <v>10</v>
      </c>
      <c r="I20" s="109"/>
      <c r="J20" s="109"/>
      <c r="K20" s="109"/>
      <c r="M20" s="24"/>
      <c r="AE20" s="109"/>
      <c r="AF20" s="109"/>
      <c r="AG20" s="109"/>
      <c r="AL20" s="109"/>
    </row>
    <row r="21" spans="2:38" s="109" customFormat="1">
      <c r="B21" s="94" t="s">
        <v>13</v>
      </c>
      <c r="C21" s="92">
        <f>(C19-C20)</f>
        <v>47</v>
      </c>
      <c r="D21" s="92">
        <f>(D19-D20)</f>
        <v>-15</v>
      </c>
      <c r="E21" s="92">
        <f>(E19-E20)</f>
        <v>0</v>
      </c>
      <c r="F21" s="90" t="s">
        <v>10</v>
      </c>
    </row>
    <row r="22" spans="2:38" s="109" customFormat="1">
      <c r="B22" s="94" t="s">
        <v>112</v>
      </c>
      <c r="C22" s="93">
        <f>(C21^2+D21^2+E21^2)^(0.5)</f>
        <v>49.33558553417604</v>
      </c>
      <c r="D22" s="89" t="s">
        <v>10</v>
      </c>
      <c r="E22" s="93"/>
      <c r="F22" s="90"/>
    </row>
    <row r="23" spans="2:38">
      <c r="B23" s="30" t="s">
        <v>14</v>
      </c>
      <c r="C23" s="25">
        <f>(C21/$C$22)</f>
        <v>0.95265921121868269</v>
      </c>
      <c r="D23" s="25">
        <f>(D21/$C$22)</f>
        <v>-0.30404017379319659</v>
      </c>
      <c r="E23" s="25">
        <f>(E21/$C$22)</f>
        <v>0</v>
      </c>
      <c r="F23" s="26">
        <f>(C23^2+D23^2+E23^2)^0.5</f>
        <v>1</v>
      </c>
    </row>
    <row r="24" spans="2:38">
      <c r="B24" s="30" t="s">
        <v>15</v>
      </c>
      <c r="C24" s="25">
        <f>IF(ISERROR(INTERCEPT(C19:C20,D19:D20)),"Parallel",(INTERCEPT(C19:C20,D19:D20)))</f>
        <v>65.666666666666657</v>
      </c>
      <c r="D24" s="25">
        <f>INTERCEPT(D19:D20,C19:C20)</f>
        <v>20.957446808510639</v>
      </c>
      <c r="E24" s="25">
        <f>INTERCEPT(E19:E20,C19:C20)</f>
        <v>15</v>
      </c>
      <c r="F24" s="110" t="s">
        <v>10</v>
      </c>
    </row>
    <row r="25" spans="2:38" s="109" customFormat="1">
      <c r="B25" s="30" t="s">
        <v>16</v>
      </c>
      <c r="C25" s="25">
        <f>(C24)</f>
        <v>65.666666666666657</v>
      </c>
      <c r="D25" s="25">
        <v>0</v>
      </c>
      <c r="E25" s="25">
        <f>IF(C24="Parallel","N/A",(C29*C24+E24))</f>
        <v>15</v>
      </c>
      <c r="F25" s="110" t="s">
        <v>10</v>
      </c>
    </row>
    <row r="26" spans="2:38">
      <c r="B26" s="91" t="s">
        <v>113</v>
      </c>
      <c r="C26" s="96">
        <f>(-(Main!C7/2)*E8)/(C23*(E8-E20)+E23*C20)</f>
        <v>-5248.4665461889408</v>
      </c>
      <c r="D26" s="120" t="str">
        <f>IF(C26&lt;0,"lb (Compression)","lb (Tension)")</f>
        <v>lb (Compression)</v>
      </c>
      <c r="E26" s="98"/>
      <c r="F26" s="90"/>
    </row>
    <row r="27" spans="2:38">
      <c r="B27" s="94" t="s">
        <v>114</v>
      </c>
      <c r="C27" s="93">
        <f>($C26*C23)</f>
        <v>-5000</v>
      </c>
      <c r="D27" s="93">
        <f>($C26*D23)</f>
        <v>1595.7446808510638</v>
      </c>
      <c r="E27" s="93">
        <f>($C26*E23)</f>
        <v>0</v>
      </c>
      <c r="F27" s="90" t="s">
        <v>11</v>
      </c>
    </row>
    <row r="28" spans="2:38">
      <c r="B28" s="30" t="s">
        <v>90</v>
      </c>
      <c r="C28" s="111">
        <f>(D19-D20)/(C19-C20)</f>
        <v>-0.31914893617021278</v>
      </c>
      <c r="D28" s="24" t="s">
        <v>9</v>
      </c>
      <c r="E28" s="25"/>
      <c r="F28" s="110"/>
    </row>
    <row r="29" spans="2:38" s="109" customFormat="1">
      <c r="B29" s="121" t="s">
        <v>89</v>
      </c>
      <c r="C29" s="122">
        <f>(E19-E20)/(C19-C20)</f>
        <v>0</v>
      </c>
      <c r="D29" s="123" t="s">
        <v>9</v>
      </c>
      <c r="E29" s="124"/>
      <c r="F29" s="125"/>
    </row>
    <row r="30" spans="2:38" ht="15.75">
      <c r="B30" s="118" t="s">
        <v>88</v>
      </c>
      <c r="C30" s="93"/>
    </row>
    <row r="31" spans="2:38">
      <c r="B31" s="128" t="s">
        <v>8</v>
      </c>
      <c r="C31" s="129">
        <f>IF(C35="Infinite",C29*100/(C4/Main!C3),((C36/C35)*(Main!$C$3/C4))*100)</f>
        <v>63.271080928126764</v>
      </c>
      <c r="D31" s="130" t="s">
        <v>7</v>
      </c>
      <c r="E31" s="130"/>
      <c r="F31" s="131"/>
    </row>
    <row r="32" spans="2:38">
      <c r="B32" s="30" t="s">
        <v>69</v>
      </c>
      <c r="C32" s="111">
        <f>IF(C24="Parallel",C29,IF(C12="Parallel",C17,(E25-E13)/(C24-C12)))</f>
        <v>-0.20905923344947738</v>
      </c>
      <c r="D32" s="89" t="str">
        <f>IF(C32&lt;0,"in/in (Roll Understeer)","in/in (Roll Oversteer)")</f>
        <v>in/in (Roll Understeer)</v>
      </c>
      <c r="E32" s="134"/>
      <c r="F32" s="135"/>
      <c r="H32" s="96"/>
    </row>
    <row r="33" spans="2:6">
      <c r="B33" s="91" t="s">
        <v>70</v>
      </c>
      <c r="C33" s="96">
        <f>IF(ISERROR((C32*-C12)+E13),(C32*-C24)+E25,(C32*-C12)+E13)</f>
        <v>28.728222996515679</v>
      </c>
      <c r="D33" s="89" t="s">
        <v>10</v>
      </c>
      <c r="E33" s="103"/>
      <c r="F33" s="104"/>
    </row>
    <row r="34" spans="2:6">
      <c r="B34" s="91" t="s">
        <v>71</v>
      </c>
      <c r="C34" s="96">
        <f>(DEGREES(ATAN(C32)))</f>
        <v>-11.808144086633858</v>
      </c>
      <c r="D34" s="89" t="str">
        <f>IF(C34&lt;0,"degrees (Roll Understeer)","degrees (Roll Oversteer)")</f>
        <v>degrees (Roll Understeer)</v>
      </c>
      <c r="F34" s="99"/>
    </row>
    <row r="35" spans="2:6">
      <c r="B35" s="91" t="s">
        <v>32</v>
      </c>
      <c r="C35" s="93">
        <f>IF(ISERROR((E12-E24)*(-1/(C17-C29))),"Infinite",(E12-E24)*(-1/(C17-C29)))</f>
        <v>90</v>
      </c>
      <c r="D35" s="95" t="s">
        <v>10</v>
      </c>
      <c r="F35" s="99"/>
    </row>
    <row r="36" spans="2:6">
      <c r="B36" s="107" t="s">
        <v>43</v>
      </c>
      <c r="C36" s="124">
        <f>IF(ISERROR((C17*C35+E12)),"Infinite",(C17*C35+E12))</f>
        <v>15</v>
      </c>
      <c r="D36" s="105" t="s">
        <v>10</v>
      </c>
      <c r="E36" s="105"/>
      <c r="F36" s="106"/>
    </row>
  </sheetData>
  <sheetProtection sheet="1" objects="1" scenarios="1"/>
  <phoneticPr fontId="0" type="noConversion"/>
  <printOptions horizontalCentered="1" verticalCentered="1"/>
  <pageMargins left="0.5" right="0.5" top="0.5" bottom="0.5" header="0.5" footer="0.5"/>
  <pageSetup scale="61" orientation="landscape" verticalDpi="300" r:id="rId1"/>
  <headerFooter alignWithMargins="0"/>
  <cellWatches>
    <cellWatch r="C12"/>
  </cellWatche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B1:AH72"/>
  <sheetViews>
    <sheetView showGridLines="0" workbookViewId="0">
      <selection activeCell="H70" sqref="H70"/>
    </sheetView>
  </sheetViews>
  <sheetFormatPr defaultColWidth="17.85546875" defaultRowHeight="12.75"/>
  <cols>
    <col min="1" max="1" width="1.42578125" style="10" customWidth="1"/>
    <col min="2" max="2" width="19.28515625" style="9" customWidth="1"/>
    <col min="3" max="6" width="10.140625" style="10" customWidth="1"/>
    <col min="7" max="7" width="3.5703125" style="10" customWidth="1"/>
    <col min="8" max="8" width="19.28515625" style="10" customWidth="1"/>
    <col min="9" max="12" width="10.140625" style="10" customWidth="1"/>
    <col min="13" max="13" width="3.42578125" style="10" customWidth="1"/>
    <col min="14" max="14" width="19.28515625" style="10" customWidth="1"/>
    <col min="15" max="18" width="10.140625" style="10" customWidth="1"/>
    <col min="19" max="16384" width="17.85546875" style="10"/>
  </cols>
  <sheetData>
    <row r="1" spans="2:18" ht="20.25">
      <c r="B1" s="56" t="str">
        <f>Main!B1</f>
        <v>4 Bar Linkage Calculator v3.0</v>
      </c>
    </row>
    <row r="2" spans="2:18">
      <c r="B2" s="35" t="s">
        <v>94</v>
      </c>
      <c r="C2" s="34">
        <v>5</v>
      </c>
      <c r="D2" s="11" t="s">
        <v>10</v>
      </c>
      <c r="E2" s="11"/>
      <c r="F2" s="11"/>
      <c r="G2" s="11"/>
    </row>
    <row r="3" spans="2:18">
      <c r="B3" s="35" t="s">
        <v>118</v>
      </c>
      <c r="C3" s="34">
        <v>10</v>
      </c>
      <c r="D3" s="11" t="s">
        <v>10</v>
      </c>
      <c r="E3" s="11"/>
      <c r="F3" s="11"/>
      <c r="G3" s="11"/>
    </row>
    <row r="4" spans="2:18" ht="15.75">
      <c r="B4" s="33" t="s">
        <v>101</v>
      </c>
      <c r="C4" s="36"/>
      <c r="D4" s="11"/>
      <c r="E4" s="11"/>
      <c r="F4" s="11"/>
      <c r="G4" s="11"/>
      <c r="H4" s="33" t="s">
        <v>102</v>
      </c>
      <c r="I4" s="24"/>
      <c r="J4" s="25"/>
      <c r="K4" s="27"/>
      <c r="L4" s="24"/>
      <c r="M4" s="24"/>
      <c r="N4" s="33" t="s">
        <v>103</v>
      </c>
      <c r="O4" s="24"/>
      <c r="P4" s="25"/>
      <c r="Q4" s="27"/>
      <c r="R4" s="24"/>
    </row>
    <row r="5" spans="2:18" ht="15.75">
      <c r="B5" s="38" t="s">
        <v>4</v>
      </c>
      <c r="C5" s="84" t="s">
        <v>1</v>
      </c>
      <c r="D5" s="84" t="s">
        <v>0</v>
      </c>
      <c r="E5" s="84" t="s">
        <v>5</v>
      </c>
      <c r="F5" s="85"/>
      <c r="G5" s="86"/>
      <c r="H5" s="87" t="s">
        <v>4</v>
      </c>
      <c r="I5" s="84" t="s">
        <v>1</v>
      </c>
      <c r="J5" s="84" t="s">
        <v>0</v>
      </c>
      <c r="K5" s="84" t="s">
        <v>5</v>
      </c>
      <c r="L5" s="88"/>
      <c r="M5" s="89"/>
      <c r="N5" s="87" t="s">
        <v>4</v>
      </c>
      <c r="O5" s="84" t="s">
        <v>1</v>
      </c>
      <c r="P5" s="84" t="s">
        <v>0</v>
      </c>
      <c r="Q5" s="84" t="s">
        <v>5</v>
      </c>
      <c r="R5" s="88"/>
    </row>
    <row r="6" spans="2:18">
      <c r="B6" s="14" t="s">
        <v>24</v>
      </c>
      <c r="C6" s="136">
        <f>Main!G4</f>
        <v>30</v>
      </c>
      <c r="D6" s="136">
        <f>Main!H4</f>
        <v>20</v>
      </c>
      <c r="E6" s="136">
        <f>Main!I4</f>
        <v>25</v>
      </c>
      <c r="F6" s="90" t="s">
        <v>10</v>
      </c>
      <c r="G6" s="86"/>
      <c r="H6" s="14" t="str">
        <f>B6</f>
        <v>Frame End</v>
      </c>
      <c r="I6" s="136">
        <f>C6</f>
        <v>30</v>
      </c>
      <c r="J6" s="136">
        <f>D6</f>
        <v>20</v>
      </c>
      <c r="K6" s="136">
        <f>E6</f>
        <v>25</v>
      </c>
      <c r="L6" s="181" t="str">
        <f>F6</f>
        <v>in</v>
      </c>
      <c r="M6" s="89"/>
      <c r="N6" s="14" t="str">
        <f>B6</f>
        <v>Frame End</v>
      </c>
      <c r="O6" s="136">
        <f>C6</f>
        <v>30</v>
      </c>
      <c r="P6" s="136">
        <f>D6</f>
        <v>20</v>
      </c>
      <c r="Q6" s="136">
        <f>E6</f>
        <v>25</v>
      </c>
      <c r="R6" s="90" t="s">
        <v>10</v>
      </c>
    </row>
    <row r="7" spans="2:18">
      <c r="B7" s="14" t="s">
        <v>25</v>
      </c>
      <c r="C7" s="136">
        <f>Main!G5</f>
        <v>0</v>
      </c>
      <c r="D7" s="136">
        <f>Main!H5</f>
        <v>10</v>
      </c>
      <c r="E7" s="136">
        <f>Main!I5</f>
        <v>30</v>
      </c>
      <c r="F7" s="90" t="s">
        <v>10</v>
      </c>
      <c r="G7" s="86"/>
      <c r="H7" s="14" t="s">
        <v>25</v>
      </c>
      <c r="I7" s="216">
        <v>1.3387438982233795</v>
      </c>
      <c r="J7" s="136">
        <f>D7</f>
        <v>10</v>
      </c>
      <c r="K7" s="216">
        <v>35.175079390132737</v>
      </c>
      <c r="L7" s="90" t="s">
        <v>10</v>
      </c>
      <c r="M7" s="89"/>
      <c r="N7" s="14" t="s">
        <v>25</v>
      </c>
      <c r="O7" s="216">
        <v>4.1793031209166595E-2</v>
      </c>
      <c r="P7" s="136">
        <f>D7</f>
        <v>10</v>
      </c>
      <c r="Q7" s="216">
        <v>19.755472509464219</v>
      </c>
      <c r="R7" s="90" t="s">
        <v>10</v>
      </c>
    </row>
    <row r="8" spans="2:18">
      <c r="B8" s="14" t="s">
        <v>13</v>
      </c>
      <c r="C8" s="92">
        <f>(C6-C7)</f>
        <v>30</v>
      </c>
      <c r="D8" s="92">
        <f>(D6-D7)</f>
        <v>10</v>
      </c>
      <c r="E8" s="92">
        <f>(E6-E7)</f>
        <v>-5</v>
      </c>
      <c r="F8" s="90" t="s">
        <v>10</v>
      </c>
      <c r="G8" s="86"/>
      <c r="H8" s="91" t="s">
        <v>13</v>
      </c>
      <c r="I8" s="92">
        <f>(I6-I7)</f>
        <v>28.661256101776619</v>
      </c>
      <c r="J8" s="92">
        <f>(J6-J7)</f>
        <v>10</v>
      </c>
      <c r="K8" s="92">
        <f>(K6-K7)</f>
        <v>-10.175079390132737</v>
      </c>
      <c r="L8" s="90" t="s">
        <v>10</v>
      </c>
      <c r="M8" s="89"/>
      <c r="N8" s="91" t="s">
        <v>13</v>
      </c>
      <c r="O8" s="92">
        <f>(O6-O7)</f>
        <v>29.958206968790833</v>
      </c>
      <c r="P8" s="92">
        <f>(P6-P7)</f>
        <v>10</v>
      </c>
      <c r="Q8" s="92">
        <f>(Q6-Q7)</f>
        <v>5.2445274905357806</v>
      </c>
      <c r="R8" s="90" t="s">
        <v>10</v>
      </c>
    </row>
    <row r="9" spans="2:18">
      <c r="B9" s="30" t="s">
        <v>112</v>
      </c>
      <c r="C9" s="93">
        <f>(C8^2+D8^2+E8^2)^(0.5)</f>
        <v>32.015621187164243</v>
      </c>
      <c r="D9" s="89" t="s">
        <v>10</v>
      </c>
      <c r="E9" s="93"/>
      <c r="F9" s="90"/>
      <c r="G9" s="86"/>
      <c r="H9" s="94" t="s">
        <v>112</v>
      </c>
      <c r="I9" s="93">
        <f>(I8^2+J8^2+K8^2)^(0.5)</f>
        <v>32.015618718480695</v>
      </c>
      <c r="J9" s="89" t="s">
        <v>10</v>
      </c>
      <c r="K9" s="93"/>
      <c r="L9" s="90"/>
      <c r="M9" s="89"/>
      <c r="N9" s="94" t="s">
        <v>112</v>
      </c>
      <c r="O9" s="93">
        <f>(O8^2+P8^2+Q8^2)^(0.5)</f>
        <v>32.015609214629869</v>
      </c>
      <c r="P9" s="89" t="s">
        <v>10</v>
      </c>
      <c r="Q9" s="93"/>
      <c r="R9" s="90"/>
    </row>
    <row r="10" spans="2:18">
      <c r="B10" s="30" t="s">
        <v>119</v>
      </c>
      <c r="C10" s="93">
        <f>SQRT((E7-E21)^2+(C7-C21)^2)</f>
        <v>15.297058540778355</v>
      </c>
      <c r="D10" s="89"/>
      <c r="E10" s="93"/>
      <c r="F10" s="90"/>
      <c r="G10" s="86"/>
      <c r="H10" s="94" t="s">
        <v>119</v>
      </c>
      <c r="I10" s="93">
        <f>SQRT((K7-K21)^2+(I7-I21)^2)</f>
        <v>15.297061941759658</v>
      </c>
      <c r="J10" s="89"/>
      <c r="K10" s="93"/>
      <c r="L10" s="90"/>
      <c r="M10" s="89"/>
      <c r="N10" s="94" t="s">
        <v>119</v>
      </c>
      <c r="O10" s="93">
        <f>SQRT((Q7-Q21)^2+(O7-O21)^2)</f>
        <v>15.297058705049917</v>
      </c>
      <c r="P10" s="89"/>
      <c r="Q10" s="93"/>
      <c r="R10" s="90"/>
    </row>
    <row r="11" spans="2:18" ht="15.75">
      <c r="B11" s="30"/>
      <c r="C11" s="93"/>
      <c r="D11" s="89"/>
      <c r="E11" s="93"/>
      <c r="F11" s="90"/>
      <c r="G11" s="86"/>
      <c r="H11" s="91" t="s">
        <v>95</v>
      </c>
      <c r="I11" s="95">
        <f>(C9-I9)</f>
        <v>2.4686835473630708E-6</v>
      </c>
      <c r="J11" s="95" t="s">
        <v>10</v>
      </c>
      <c r="K11" s="93"/>
      <c r="L11" s="90"/>
      <c r="M11" s="89"/>
      <c r="N11" s="91" t="s">
        <v>100</v>
      </c>
      <c r="O11" s="95">
        <f>(C9-O9)</f>
        <v>1.1972534373683175E-5</v>
      </c>
      <c r="P11" s="95" t="s">
        <v>10</v>
      </c>
      <c r="Q11" s="93"/>
      <c r="R11" s="90"/>
    </row>
    <row r="12" spans="2:18" s="109" customFormat="1">
      <c r="B12" s="30" t="s">
        <v>14</v>
      </c>
      <c r="C12" s="25">
        <f>(C8/$C$9)</f>
        <v>0.93704257133163638</v>
      </c>
      <c r="D12" s="25">
        <f>(D8/$C$9)</f>
        <v>0.31234752377721214</v>
      </c>
      <c r="E12" s="25">
        <f>(E8/$C$9)</f>
        <v>-0.15617376188860607</v>
      </c>
      <c r="F12" s="26">
        <f>(C12^2+D12^2+E12^2)^0.5</f>
        <v>1</v>
      </c>
      <c r="G12" s="108"/>
      <c r="H12" s="30" t="s">
        <v>14</v>
      </c>
      <c r="I12" s="25">
        <f>(I8/$I$9)</f>
        <v>0.89522730620327495</v>
      </c>
      <c r="J12" s="25">
        <f>(J8/$I$9)</f>
        <v>0.31234754786193153</v>
      </c>
      <c r="K12" s="25">
        <f>(K8/$I$9)</f>
        <v>-0.31781610968084384</v>
      </c>
      <c r="L12" s="26">
        <f>(I12^2+J12^2+K12^2)^0.5</f>
        <v>1</v>
      </c>
      <c r="M12" s="24"/>
      <c r="N12" s="30" t="s">
        <v>14</v>
      </c>
      <c r="O12" s="25">
        <f>(O8/$I$9)</f>
        <v>0.93573724850420459</v>
      </c>
      <c r="P12" s="25">
        <f>(P8/$I$9)</f>
        <v>0.31234754786193153</v>
      </c>
      <c r="Q12" s="25">
        <f>(Q8/$I$9)</f>
        <v>0.16381153013633404</v>
      </c>
      <c r="R12" s="26">
        <f>(O12^2+P12^2+Q12^2)^0.5</f>
        <v>0.99999970314955011</v>
      </c>
    </row>
    <row r="13" spans="2:18" s="109" customFormat="1">
      <c r="B13" s="30" t="s">
        <v>15</v>
      </c>
      <c r="C13" s="25">
        <f>INTERCEPT(C6:C7,D6:D7)</f>
        <v>-30</v>
      </c>
      <c r="D13" s="25">
        <f>INTERCEPT(D6:D7,C6:C7)</f>
        <v>10</v>
      </c>
      <c r="E13" s="25">
        <f>INTERCEPT(E6:E7,C6:C7)</f>
        <v>30</v>
      </c>
      <c r="F13" s="110" t="s">
        <v>10</v>
      </c>
      <c r="G13" s="108"/>
      <c r="H13" s="30" t="s">
        <v>15</v>
      </c>
      <c r="I13" s="25">
        <f>INTERCEPT(I6:I7,J6:J7)</f>
        <v>-27.322512203553238</v>
      </c>
      <c r="J13" s="25">
        <f>INTERCEPT(J6:J7,I6:I7)</f>
        <v>9.532908155361552</v>
      </c>
      <c r="K13" s="25">
        <f>INTERCEPT(K6:K7,I6:I7)</f>
        <v>35.650349050300711</v>
      </c>
      <c r="L13" s="110" t="s">
        <v>10</v>
      </c>
      <c r="M13" s="24"/>
      <c r="N13" s="30" t="s">
        <v>15</v>
      </c>
      <c r="O13" s="25">
        <f>INTERCEPT(O6:O7,P6:P7)</f>
        <v>-29.916413937581659</v>
      </c>
      <c r="P13" s="25">
        <f>INTERCEPT(P6:P7,O6:O7)</f>
        <v>9.9860495552178072</v>
      </c>
      <c r="Q13" s="25">
        <f>INTERCEPT(Q6:Q7,O6:O7)</f>
        <v>19.748156160347676</v>
      </c>
      <c r="R13" s="110" t="s">
        <v>10</v>
      </c>
    </row>
    <row r="14" spans="2:18" s="109" customFormat="1">
      <c r="B14" s="30" t="s">
        <v>16</v>
      </c>
      <c r="C14" s="25">
        <f>(C13)</f>
        <v>-30</v>
      </c>
      <c r="D14" s="25">
        <v>0</v>
      </c>
      <c r="E14" s="25">
        <f>(C17*C13+E13)</f>
        <v>35</v>
      </c>
      <c r="F14" s="110" t="s">
        <v>10</v>
      </c>
      <c r="G14" s="108"/>
      <c r="H14" s="30" t="s">
        <v>16</v>
      </c>
      <c r="I14" s="25">
        <f>(I13)</f>
        <v>-27.322512203553238</v>
      </c>
      <c r="J14" s="25">
        <v>0</v>
      </c>
      <c r="K14" s="25">
        <f>(I17*I13+K13)</f>
        <v>45.350158780265474</v>
      </c>
      <c r="L14" s="110" t="s">
        <v>10</v>
      </c>
      <c r="M14" s="24"/>
      <c r="N14" s="30" t="s">
        <v>16</v>
      </c>
      <c r="O14" s="25">
        <f>(O13)</f>
        <v>-29.916413937581659</v>
      </c>
      <c r="P14" s="25">
        <v>0</v>
      </c>
      <c r="Q14" s="25">
        <f>(O17*O13+Q13)</f>
        <v>14.510945018928439</v>
      </c>
      <c r="R14" s="110" t="s">
        <v>10</v>
      </c>
    </row>
    <row r="15" spans="2:18">
      <c r="B15" s="30" t="s">
        <v>17</v>
      </c>
      <c r="C15" s="207">
        <f>($C18*C12)</f>
        <v>2499.9999999999995</v>
      </c>
      <c r="D15" s="207">
        <f>($C18*D12)</f>
        <v>833.33333333333326</v>
      </c>
      <c r="E15" s="207">
        <f>($C18*E12)</f>
        <v>-416.66666666666663</v>
      </c>
      <c r="F15" s="90" t="s">
        <v>11</v>
      </c>
      <c r="G15" s="86"/>
      <c r="H15" s="94" t="s">
        <v>17</v>
      </c>
      <c r="I15" s="93">
        <f>($I18*I12)</f>
        <v>3401.4045704331616</v>
      </c>
      <c r="J15" s="93">
        <f>($I18*J12)</f>
        <v>1186.7604679832295</v>
      </c>
      <c r="K15" s="93">
        <f>($I18*K12)</f>
        <v>-1207.5381978800442</v>
      </c>
      <c r="L15" s="90" t="s">
        <v>11</v>
      </c>
      <c r="M15" s="89"/>
      <c r="N15" s="94" t="s">
        <v>17</v>
      </c>
      <c r="O15" s="207">
        <f>($I18*O12)</f>
        <v>3555.3215722220662</v>
      </c>
      <c r="P15" s="207">
        <f>($I18*P12)</f>
        <v>1186.7604679832295</v>
      </c>
      <c r="Q15" s="207">
        <f>($I18*Q12)</f>
        <v>622.3997899019156</v>
      </c>
      <c r="R15" s="90" t="s">
        <v>11</v>
      </c>
    </row>
    <row r="16" spans="2:18" s="109" customFormat="1">
      <c r="B16" s="30" t="s">
        <v>90</v>
      </c>
      <c r="C16" s="111">
        <f>(D6-D7)/(C6-C7)</f>
        <v>0.33333333333333331</v>
      </c>
      <c r="D16" s="24" t="s">
        <v>9</v>
      </c>
      <c r="E16" s="25"/>
      <c r="F16" s="110"/>
      <c r="G16" s="108"/>
      <c r="H16" s="30" t="s">
        <v>90</v>
      </c>
      <c r="I16" s="111">
        <f>(J6-J7)/(I6-I7)</f>
        <v>0.34890306148794825</v>
      </c>
      <c r="J16" s="24" t="s">
        <v>9</v>
      </c>
      <c r="K16" s="25"/>
      <c r="L16" s="110"/>
      <c r="M16" s="24"/>
      <c r="N16" s="30" t="s">
        <v>90</v>
      </c>
      <c r="O16" s="111">
        <f>(P6-P7)/(O6-O7)</f>
        <v>0.33379834815940645</v>
      </c>
      <c r="P16" s="24" t="s">
        <v>9</v>
      </c>
      <c r="Q16" s="25"/>
      <c r="R16" s="110"/>
    </row>
    <row r="17" spans="2:34" s="109" customFormat="1">
      <c r="B17" s="30" t="s">
        <v>89</v>
      </c>
      <c r="C17" s="111">
        <f>(E6-E7)/(C6-C7)</f>
        <v>-0.16666666666666666</v>
      </c>
      <c r="D17" s="24" t="s">
        <v>9</v>
      </c>
      <c r="E17" s="25"/>
      <c r="F17" s="110"/>
      <c r="G17" s="108"/>
      <c r="H17" s="30" t="s">
        <v>89</v>
      </c>
      <c r="I17" s="111">
        <f>(K6-K7)/(I6-I7)</f>
        <v>-0.35501163501002375</v>
      </c>
      <c r="J17" s="24" t="s">
        <v>9</v>
      </c>
      <c r="K17" s="25"/>
      <c r="L17" s="110"/>
      <c r="M17" s="24"/>
      <c r="N17" s="30" t="s">
        <v>89</v>
      </c>
      <c r="O17" s="111">
        <f>(Q6-Q7)/(O6-O7)</f>
        <v>0.17506146132174408</v>
      </c>
      <c r="P17" s="24" t="s">
        <v>9</v>
      </c>
      <c r="Q17" s="25"/>
      <c r="R17" s="110"/>
      <c r="AF17" s="111"/>
      <c r="AG17" s="111"/>
      <c r="AH17" s="111"/>
    </row>
    <row r="18" spans="2:34">
      <c r="B18" s="14" t="s">
        <v>18</v>
      </c>
      <c r="C18" s="206">
        <f>((Main!$C$7/2)*E21)/(C12*(E7-E21)+E12*C7)</f>
        <v>2667.9684322636867</v>
      </c>
      <c r="D18" s="97" t="s">
        <v>11</v>
      </c>
      <c r="E18" s="98"/>
      <c r="F18" s="99"/>
      <c r="G18" s="95"/>
      <c r="H18" s="91" t="s">
        <v>18</v>
      </c>
      <c r="I18" s="206">
        <f>((Main!$C$7/2)*K21)/(I12*(K7-K21)+K12*I7)</f>
        <v>3799.4870653116795</v>
      </c>
      <c r="J18" s="97" t="s">
        <v>11</v>
      </c>
      <c r="K18" s="98"/>
      <c r="L18" s="99"/>
      <c r="M18" s="95"/>
      <c r="N18" s="91" t="s">
        <v>18</v>
      </c>
      <c r="O18" s="206">
        <f>((Main!$C$7/2)*Q21)/(O12*(Q7-Q21)+Q12*O7)</f>
        <v>904.87311932584385</v>
      </c>
      <c r="P18" s="97" t="s">
        <v>11</v>
      </c>
      <c r="Q18" s="98"/>
      <c r="R18" s="99"/>
    </row>
    <row r="19" spans="2:34" ht="15.75">
      <c r="B19" s="51" t="s">
        <v>6</v>
      </c>
      <c r="C19" s="98" t="s">
        <v>1</v>
      </c>
      <c r="D19" s="98" t="s">
        <v>0</v>
      </c>
      <c r="E19" s="98" t="s">
        <v>5</v>
      </c>
      <c r="F19" s="90"/>
      <c r="G19" s="95"/>
      <c r="H19" s="100" t="s">
        <v>6</v>
      </c>
      <c r="I19" s="98" t="s">
        <v>1</v>
      </c>
      <c r="J19" s="98" t="s">
        <v>0</v>
      </c>
      <c r="K19" s="98" t="s">
        <v>5</v>
      </c>
      <c r="L19" s="90"/>
      <c r="M19" s="95"/>
      <c r="N19" s="100" t="s">
        <v>6</v>
      </c>
      <c r="O19" s="98" t="s">
        <v>1</v>
      </c>
      <c r="P19" s="98" t="s">
        <v>0</v>
      </c>
      <c r="Q19" s="98" t="s">
        <v>5</v>
      </c>
      <c r="R19" s="90"/>
    </row>
    <row r="20" spans="2:34">
      <c r="B20" s="14" t="s">
        <v>24</v>
      </c>
      <c r="C20" s="136">
        <f>Main!G7</f>
        <v>50</v>
      </c>
      <c r="D20" s="136">
        <f>Main!H7</f>
        <v>5</v>
      </c>
      <c r="E20" s="136">
        <f>Main!I7</f>
        <v>15</v>
      </c>
      <c r="F20" s="90" t="s">
        <v>10</v>
      </c>
      <c r="G20" s="95"/>
      <c r="H20" s="91" t="s">
        <v>24</v>
      </c>
      <c r="I20" s="136">
        <f>$C$20</f>
        <v>50</v>
      </c>
      <c r="J20" s="136">
        <f>$D$20</f>
        <v>5</v>
      </c>
      <c r="K20" s="136">
        <f>$E$20</f>
        <v>15</v>
      </c>
      <c r="L20" s="90" t="s">
        <v>10</v>
      </c>
      <c r="M20" s="95"/>
      <c r="N20" s="91" t="s">
        <v>24</v>
      </c>
      <c r="O20" s="136">
        <f>$C$20</f>
        <v>50</v>
      </c>
      <c r="P20" s="136">
        <f>$D$20</f>
        <v>5</v>
      </c>
      <c r="Q20" s="136">
        <f>$E$20</f>
        <v>15</v>
      </c>
      <c r="R20" s="90" t="s">
        <v>10</v>
      </c>
    </row>
    <row r="21" spans="2:34">
      <c r="B21" s="14" t="s">
        <v>25</v>
      </c>
      <c r="C21" s="136">
        <f>Main!G8</f>
        <v>3</v>
      </c>
      <c r="D21" s="136">
        <f>Main!H8</f>
        <v>20</v>
      </c>
      <c r="E21" s="136">
        <f>Main!I8</f>
        <v>15</v>
      </c>
      <c r="F21" s="90" t="s">
        <v>10</v>
      </c>
      <c r="G21" s="95"/>
      <c r="H21" s="91" t="s">
        <v>25</v>
      </c>
      <c r="I21" s="137">
        <f>(-SQRT(($C$22^2+$E$22^2)-((K21-K20)^2)))+I20</f>
        <v>3.2667142178083068</v>
      </c>
      <c r="J21" s="136">
        <f>$D$21</f>
        <v>20</v>
      </c>
      <c r="K21" s="137">
        <f>E21+$C$2</f>
        <v>20</v>
      </c>
      <c r="L21" s="90" t="s">
        <v>10</v>
      </c>
      <c r="M21" s="95"/>
      <c r="N21" s="91" t="s">
        <v>25</v>
      </c>
      <c r="O21" s="137">
        <f>(-SQRT(($C$22^2+$E$22^2)-((Q21-Q20)^2)))+O20</f>
        <v>4.0761499871798605</v>
      </c>
      <c r="P21" s="136">
        <f>J21</f>
        <v>20</v>
      </c>
      <c r="Q21" s="137">
        <f>E21-$C$3</f>
        <v>5</v>
      </c>
      <c r="R21" s="90" t="s">
        <v>10</v>
      </c>
    </row>
    <row r="22" spans="2:34">
      <c r="B22" s="30" t="s">
        <v>13</v>
      </c>
      <c r="C22" s="92">
        <f>(C20-C21)</f>
        <v>47</v>
      </c>
      <c r="D22" s="92">
        <f>(D20-D21)</f>
        <v>-15</v>
      </c>
      <c r="E22" s="92">
        <f>(E20-E21)</f>
        <v>0</v>
      </c>
      <c r="F22" s="90" t="s">
        <v>10</v>
      </c>
      <c r="G22" s="95"/>
      <c r="H22" s="94" t="s">
        <v>13</v>
      </c>
      <c r="I22" s="92">
        <f>(I20-I21)</f>
        <v>46.733285782191693</v>
      </c>
      <c r="J22" s="92">
        <f>(J20-J21)</f>
        <v>-15</v>
      </c>
      <c r="K22" s="92">
        <f>(K20-K21)</f>
        <v>-5</v>
      </c>
      <c r="L22" s="90" t="s">
        <v>10</v>
      </c>
      <c r="M22" s="95"/>
      <c r="N22" s="94" t="s">
        <v>13</v>
      </c>
      <c r="O22" s="92">
        <f>(O20-O21)</f>
        <v>45.923850012820139</v>
      </c>
      <c r="P22" s="92">
        <f>(P20-P21)</f>
        <v>-15</v>
      </c>
      <c r="Q22" s="92">
        <f>(Q20-Q21)</f>
        <v>10</v>
      </c>
      <c r="R22" s="90" t="s">
        <v>10</v>
      </c>
    </row>
    <row r="23" spans="2:34" s="5" customFormat="1">
      <c r="B23" s="30" t="s">
        <v>44</v>
      </c>
      <c r="C23" s="93">
        <f>(C22^2+D22^2+E22^2)^(0.5)</f>
        <v>49.33558553417604</v>
      </c>
      <c r="D23" s="89" t="s">
        <v>10</v>
      </c>
      <c r="E23" s="93"/>
      <c r="F23" s="90"/>
      <c r="G23" s="95"/>
      <c r="H23" s="94" t="s">
        <v>44</v>
      </c>
      <c r="I23" s="93">
        <f>(I22^2+J22^2+K22^2)^(0.5)</f>
        <v>49.33558553417604</v>
      </c>
      <c r="J23" s="89" t="s">
        <v>10</v>
      </c>
      <c r="K23" s="93"/>
      <c r="L23" s="90"/>
      <c r="M23" s="95"/>
      <c r="N23" s="94" t="s">
        <v>44</v>
      </c>
      <c r="O23" s="93">
        <f>(O22^2+P22^2+Q22^2)^(0.5)</f>
        <v>49.33558553417604</v>
      </c>
      <c r="P23" s="89" t="s">
        <v>10</v>
      </c>
      <c r="Q23" s="93"/>
      <c r="R23" s="90"/>
      <c r="AF23" s="10"/>
      <c r="AG23" s="10"/>
      <c r="AH23" s="10"/>
    </row>
    <row r="24" spans="2:34" s="111" customFormat="1">
      <c r="B24" s="30" t="s">
        <v>14</v>
      </c>
      <c r="C24" s="25">
        <f>(C22/$C$23)</f>
        <v>0.95265921121868269</v>
      </c>
      <c r="D24" s="25">
        <f>(D22/$C$23)</f>
        <v>-0.30404017379319659</v>
      </c>
      <c r="E24" s="25">
        <f>(E22/$C$23)</f>
        <v>0</v>
      </c>
      <c r="F24" s="26">
        <f>(C24^2+D24^2+E24^2)^0.5</f>
        <v>1</v>
      </c>
      <c r="G24" s="109"/>
      <c r="H24" s="30" t="s">
        <v>14</v>
      </c>
      <c r="I24" s="25">
        <f>(I22/I23)</f>
        <v>0.94725308874297909</v>
      </c>
      <c r="J24" s="25">
        <f>(J22/I23)</f>
        <v>-0.30404017379319659</v>
      </c>
      <c r="K24" s="25">
        <f>(K22/I23)</f>
        <v>-0.10134672459773221</v>
      </c>
      <c r="L24" s="26">
        <f>(I24^2+J24^2+K24^2)^0.5</f>
        <v>1</v>
      </c>
      <c r="M24" s="109"/>
      <c r="N24" s="30" t="s">
        <v>14</v>
      </c>
      <c r="O24" s="25">
        <f>(O22/O23)</f>
        <v>0.93084635594336862</v>
      </c>
      <c r="P24" s="25">
        <f>(P22/O23)</f>
        <v>-0.30404017379319659</v>
      </c>
      <c r="Q24" s="25">
        <f>(Q22/O23)</f>
        <v>0.20269344919546442</v>
      </c>
      <c r="R24" s="26">
        <f>(O24^2+P24^2+Q24^2)^0.5</f>
        <v>1</v>
      </c>
      <c r="AF24" s="109"/>
      <c r="AG24" s="109"/>
      <c r="AH24" s="109"/>
    </row>
    <row r="25" spans="2:34">
      <c r="B25" s="30" t="s">
        <v>15</v>
      </c>
      <c r="C25" s="93">
        <f>INTERCEPT(C20:C21,D20:D21)</f>
        <v>65.666666666666657</v>
      </c>
      <c r="D25" s="93">
        <f>INTERCEPT(D20:D21,C20:C21)</f>
        <v>20.957446808510639</v>
      </c>
      <c r="E25" s="93">
        <f>INTERCEPT(E20:E21,C20:C21)</f>
        <v>15</v>
      </c>
      <c r="F25" s="90" t="s">
        <v>10</v>
      </c>
      <c r="G25" s="86"/>
      <c r="H25" s="94" t="s">
        <v>15</v>
      </c>
      <c r="I25" s="93">
        <f>INTERCEPT(I20:I21,J20:J21)</f>
        <v>65.577761927397233</v>
      </c>
      <c r="J25" s="93">
        <f>INTERCEPT(J20:J21,I20:I21)</f>
        <v>21.048518469159234</v>
      </c>
      <c r="K25" s="93">
        <f>INTERCEPT(K20:K21,I20:I21)</f>
        <v>20.349506156386411</v>
      </c>
      <c r="L25" s="90" t="s">
        <v>10</v>
      </c>
      <c r="M25" s="89"/>
      <c r="N25" s="94" t="s">
        <v>15</v>
      </c>
      <c r="O25" s="93">
        <f>INTERCEPT(O20:O21,P20:P21)</f>
        <v>65.30795000427338</v>
      </c>
      <c r="P25" s="93">
        <f>INTERCEPT(P20:P21,O20:O21)</f>
        <v>21.331383361600331</v>
      </c>
      <c r="Q25" s="93">
        <f>INTERCEPT(Q20:Q21,O20:O21)</f>
        <v>4.1124110922664467</v>
      </c>
      <c r="R25" s="90" t="s">
        <v>10</v>
      </c>
    </row>
    <row r="26" spans="2:34">
      <c r="B26" s="30" t="s">
        <v>16</v>
      </c>
      <c r="C26" s="93">
        <f>(C25)</f>
        <v>65.666666666666657</v>
      </c>
      <c r="D26" s="93">
        <v>0</v>
      </c>
      <c r="E26" s="93">
        <f>(C28*C25+E25)</f>
        <v>15</v>
      </c>
      <c r="F26" s="90" t="s">
        <v>10</v>
      </c>
      <c r="G26" s="95"/>
      <c r="H26" s="94" t="s">
        <v>16</v>
      </c>
      <c r="I26" s="93">
        <f>(I25)</f>
        <v>65.577761927397233</v>
      </c>
      <c r="J26" s="93">
        <v>0</v>
      </c>
      <c r="K26" s="93">
        <f>(I28*I25+K25)</f>
        <v>13.333333333333332</v>
      </c>
      <c r="L26" s="90" t="s">
        <v>10</v>
      </c>
      <c r="M26" s="95"/>
      <c r="N26" s="94" t="s">
        <v>16</v>
      </c>
      <c r="O26" s="93">
        <f>(O25)</f>
        <v>65.30795000427338</v>
      </c>
      <c r="P26" s="93">
        <v>0</v>
      </c>
      <c r="Q26" s="93">
        <f>(O28*O25+Q25)</f>
        <v>18.333333333333336</v>
      </c>
      <c r="R26" s="90" t="s">
        <v>10</v>
      </c>
    </row>
    <row r="27" spans="2:34" s="109" customFormat="1">
      <c r="B27" s="30" t="s">
        <v>90</v>
      </c>
      <c r="C27" s="111">
        <f>(D20-D21)/(C20-C21)</f>
        <v>-0.31914893617021278</v>
      </c>
      <c r="D27" s="24" t="s">
        <v>9</v>
      </c>
      <c r="E27" s="25"/>
      <c r="F27" s="110"/>
      <c r="H27" s="30" t="s">
        <v>90</v>
      </c>
      <c r="I27" s="111">
        <f>(J20-J21)/(I20-I21)</f>
        <v>-0.32097036938318468</v>
      </c>
      <c r="J27" s="24" t="s">
        <v>9</v>
      </c>
      <c r="K27" s="25"/>
      <c r="L27" s="110"/>
      <c r="N27" s="30" t="s">
        <v>90</v>
      </c>
      <c r="O27" s="111">
        <f>(P20-P21)/(O20-O21)</f>
        <v>-0.32662766723200665</v>
      </c>
      <c r="P27" s="24" t="s">
        <v>9</v>
      </c>
      <c r="Q27" s="25"/>
      <c r="R27" s="110"/>
    </row>
    <row r="28" spans="2:34" s="109" customFormat="1">
      <c r="B28" s="30" t="s">
        <v>89</v>
      </c>
      <c r="C28" s="111">
        <f>(E20-E21)/(C20-C21)</f>
        <v>0</v>
      </c>
      <c r="D28" s="24" t="s">
        <v>9</v>
      </c>
      <c r="E28" s="25"/>
      <c r="F28" s="110"/>
      <c r="H28" s="30" t="s">
        <v>89</v>
      </c>
      <c r="I28" s="111">
        <f>(K20-K21)/(I20-I21)</f>
        <v>-0.10699012312772822</v>
      </c>
      <c r="J28" s="24" t="s">
        <v>9</v>
      </c>
      <c r="K28" s="25"/>
      <c r="L28" s="110"/>
      <c r="N28" s="30" t="s">
        <v>89</v>
      </c>
      <c r="O28" s="111">
        <f>(Q20-Q21)/(O20-O21)</f>
        <v>0.21775177815467109</v>
      </c>
      <c r="P28" s="24" t="s">
        <v>9</v>
      </c>
      <c r="Q28" s="25"/>
      <c r="R28" s="110"/>
    </row>
    <row r="29" spans="2:34" ht="15.75">
      <c r="B29" s="63" t="s">
        <v>88</v>
      </c>
      <c r="C29" s="93"/>
      <c r="D29" s="95"/>
      <c r="E29" s="95"/>
      <c r="F29" s="99"/>
      <c r="G29" s="95"/>
      <c r="H29" s="101" t="s">
        <v>88</v>
      </c>
      <c r="I29" s="93"/>
      <c r="J29" s="95"/>
      <c r="K29" s="95"/>
      <c r="L29" s="99"/>
      <c r="M29" s="95"/>
      <c r="N29" s="101" t="s">
        <v>88</v>
      </c>
      <c r="O29" s="93"/>
      <c r="P29" s="95"/>
      <c r="Q29" s="95"/>
      <c r="R29" s="99"/>
    </row>
    <row r="30" spans="2:34">
      <c r="B30" s="14" t="s">
        <v>8</v>
      </c>
      <c r="C30" s="102">
        <f>((C35/C34)*(Main!$C$3/VectorCalculations!$C$4))*100</f>
        <v>63.271080928126764</v>
      </c>
      <c r="D30" s="103" t="s">
        <v>7</v>
      </c>
      <c r="E30" s="103"/>
      <c r="F30" s="104"/>
      <c r="G30" s="95"/>
      <c r="H30" s="91" t="s">
        <v>8</v>
      </c>
      <c r="I30" s="102">
        <f>(((I35-$C$2)/I34)*(Main!$C$3/(VectorCalculations!$C$4-$C$2)))*100</f>
        <v>65.858769640884759</v>
      </c>
      <c r="J30" s="103" t="s">
        <v>7</v>
      </c>
      <c r="K30" s="103"/>
      <c r="L30" s="104"/>
      <c r="M30" s="95"/>
      <c r="N30" s="91" t="s">
        <v>8</v>
      </c>
      <c r="O30" s="102">
        <f>(((O35+$C$3)/O34)*(Main!$C$3/(VectorCalculations!$C$4+$C$3)))*100</f>
        <v>71.27470600154534</v>
      </c>
      <c r="P30" s="103" t="s">
        <v>7</v>
      </c>
      <c r="Q30" s="103"/>
      <c r="R30" s="104"/>
    </row>
    <row r="31" spans="2:34">
      <c r="B31" s="30" t="s">
        <v>69</v>
      </c>
      <c r="C31" s="175">
        <f>IF(ISERROR((E26-E14)/(C25-C13)),C17,(E26-E14)/(C25-C13))</f>
        <v>-0.20905923344947738</v>
      </c>
      <c r="D31" s="89" t="str">
        <f>IF(C31&lt;0,"in/in (Roll Understeer)","in/in (Roll Oversteer)")</f>
        <v>in/in (Roll Understeer)</v>
      </c>
      <c r="E31" s="103"/>
      <c r="F31" s="104"/>
      <c r="G31" s="95"/>
      <c r="H31" s="94" t="s">
        <v>69</v>
      </c>
      <c r="I31" s="175">
        <f>IF(ISERROR((K26-K14)/(I25-I13)),I17,(K26-K14)/(I25-I13))</f>
        <v>-0.34463650130678664</v>
      </c>
      <c r="J31" s="89" t="str">
        <f>IF(I31&lt;0,"in/in (Roll Understeer)","in/in (Roll Oversteer)")</f>
        <v>in/in (Roll Understeer)</v>
      </c>
      <c r="K31" s="103"/>
      <c r="L31" s="104"/>
      <c r="M31" s="95"/>
      <c r="N31" s="94" t="s">
        <v>69</v>
      </c>
      <c r="O31" s="175">
        <f>IF(ISERROR((Q26-Q14)/(O25-O13)),O17,(Q26-Q14)/(O25-O13))</f>
        <v>4.0140864755356997E-2</v>
      </c>
      <c r="P31" s="89" t="str">
        <f>IF(O31&lt;0,"in/in (Roll Understeer)","in/in (Roll Oversteer)")</f>
        <v>in/in (Roll Oversteer)</v>
      </c>
      <c r="Q31" s="103"/>
      <c r="R31" s="104"/>
    </row>
    <row r="32" spans="2:34">
      <c r="B32" s="14" t="s">
        <v>70</v>
      </c>
      <c r="C32" s="102">
        <f>(C31*-C13)+E14</f>
        <v>28.728222996515679</v>
      </c>
      <c r="D32" s="89" t="s">
        <v>10</v>
      </c>
      <c r="E32" s="103"/>
      <c r="F32" s="104"/>
      <c r="G32" s="95"/>
      <c r="H32" s="91" t="s">
        <v>70</v>
      </c>
      <c r="I32" s="102">
        <f>(I31*-I13)+K14</f>
        <v>35.933823767520906</v>
      </c>
      <c r="J32" s="89" t="s">
        <v>10</v>
      </c>
      <c r="K32" s="103"/>
      <c r="L32" s="104"/>
      <c r="M32" s="95"/>
      <c r="N32" s="91" t="s">
        <v>70</v>
      </c>
      <c r="O32" s="102">
        <f>(O31*-O13)+Q14</f>
        <v>15.71181574476218</v>
      </c>
      <c r="P32" s="89" t="s">
        <v>10</v>
      </c>
      <c r="Q32" s="103"/>
      <c r="R32" s="104"/>
    </row>
    <row r="33" spans="2:18">
      <c r="B33" s="14" t="s">
        <v>71</v>
      </c>
      <c r="C33" s="102">
        <f>(DEGREES(ATAN(C31)))</f>
        <v>-11.808144086633858</v>
      </c>
      <c r="D33" s="89" t="str">
        <f>IF(C33&lt;0,"degrees (Roll Understeer)","degrees (Roll Oversteer)")</f>
        <v>degrees (Roll Understeer)</v>
      </c>
      <c r="E33" s="95"/>
      <c r="F33" s="99"/>
      <c r="G33" s="95"/>
      <c r="H33" s="91" t="s">
        <v>71</v>
      </c>
      <c r="I33" s="102">
        <f>(DEGREES(ATAN(I31)))</f>
        <v>-19.015820584325169</v>
      </c>
      <c r="J33" s="89" t="str">
        <f>IF(I33&lt;0,"degrees (Roll Understeer)","degrees (Roll Oversteer)")</f>
        <v>degrees (Roll Understeer)</v>
      </c>
      <c r="K33" s="95"/>
      <c r="L33" s="99"/>
      <c r="M33" s="95"/>
      <c r="N33" s="91" t="s">
        <v>71</v>
      </c>
      <c r="O33" s="102">
        <f>(DEGREES(ATAN(O31)))</f>
        <v>2.2986680603175018</v>
      </c>
      <c r="P33" s="89" t="str">
        <f>IF(O33&lt;0,"degrees (Roll Understeer)","degrees (Roll Oversteer)")</f>
        <v>degrees (Roll Oversteer)</v>
      </c>
      <c r="Q33" s="95"/>
      <c r="R33" s="99"/>
    </row>
    <row r="34" spans="2:18">
      <c r="B34" s="14" t="s">
        <v>32</v>
      </c>
      <c r="C34" s="217">
        <f>(E13-E25)*(-1/(C17-C28))</f>
        <v>90</v>
      </c>
      <c r="D34" s="95" t="s">
        <v>10</v>
      </c>
      <c r="E34" s="95"/>
      <c r="F34" s="99"/>
      <c r="G34" s="95"/>
      <c r="H34" s="91" t="s">
        <v>32</v>
      </c>
      <c r="I34" s="217">
        <f>(K13-K25)*(-1/(I17-I28))</f>
        <v>61.691595933725601</v>
      </c>
      <c r="J34" s="95" t="s">
        <v>10</v>
      </c>
      <c r="K34" s="95"/>
      <c r="L34" s="99"/>
      <c r="M34" s="95"/>
      <c r="N34" s="91" t="s">
        <v>32</v>
      </c>
      <c r="O34" s="217">
        <f>(Q13-Q25)*(-1/(O17-O28))</f>
        <v>366.2597569672144</v>
      </c>
      <c r="P34" s="95" t="s">
        <v>10</v>
      </c>
      <c r="Q34" s="95"/>
      <c r="R34" s="99"/>
    </row>
    <row r="35" spans="2:18">
      <c r="B35" s="18" t="s">
        <v>43</v>
      </c>
      <c r="C35" s="217">
        <f>(C17*C34+E13)</f>
        <v>15</v>
      </c>
      <c r="D35" s="105" t="s">
        <v>10</v>
      </c>
      <c r="E35" s="105"/>
      <c r="F35" s="106"/>
      <c r="G35" s="95"/>
      <c r="H35" s="107" t="s">
        <v>43</v>
      </c>
      <c r="I35" s="217">
        <f>(I17*I34+K13)</f>
        <v>13.749114711491053</v>
      </c>
      <c r="J35" s="105" t="s">
        <v>10</v>
      </c>
      <c r="K35" s="105"/>
      <c r="L35" s="106"/>
      <c r="M35" s="95"/>
      <c r="N35" s="107" t="s">
        <v>43</v>
      </c>
      <c r="O35" s="217">
        <f>(O17*O34+Q13)</f>
        <v>83.866124438375067</v>
      </c>
      <c r="P35" s="105" t="s">
        <v>10</v>
      </c>
      <c r="Q35" s="105"/>
      <c r="R35" s="106"/>
    </row>
    <row r="37" spans="2:18" ht="15.75">
      <c r="B37" s="33" t="s">
        <v>154</v>
      </c>
    </row>
    <row r="38" spans="2:18" ht="15.75">
      <c r="B38" s="219" t="s">
        <v>101</v>
      </c>
      <c r="C38" s="220"/>
      <c r="D38" s="220"/>
      <c r="E38" s="220"/>
      <c r="F38" s="220"/>
      <c r="G38" s="220"/>
      <c r="H38" s="221" t="s">
        <v>102</v>
      </c>
      <c r="I38" s="220"/>
      <c r="J38" s="220"/>
      <c r="K38" s="220"/>
      <c r="L38" s="220"/>
      <c r="M38" s="220"/>
      <c r="N38" s="221" t="s">
        <v>103</v>
      </c>
      <c r="O38" s="220"/>
      <c r="P38" s="220"/>
      <c r="Q38" s="220"/>
      <c r="R38" s="222"/>
    </row>
    <row r="39" spans="2:18">
      <c r="B39" s="223"/>
      <c r="C39" s="224" t="s">
        <v>1</v>
      </c>
      <c r="D39" s="224" t="s">
        <v>144</v>
      </c>
      <c r="E39" s="224" t="s">
        <v>5</v>
      </c>
      <c r="F39" s="224" t="s">
        <v>81</v>
      </c>
      <c r="G39" s="225"/>
      <c r="H39" s="226"/>
      <c r="I39" s="224" t="s">
        <v>1</v>
      </c>
      <c r="J39" s="224" t="s">
        <v>144</v>
      </c>
      <c r="K39" s="224" t="s">
        <v>5</v>
      </c>
      <c r="L39" s="224" t="s">
        <v>81</v>
      </c>
      <c r="M39" s="225"/>
      <c r="N39" s="226"/>
      <c r="O39" s="224" t="s">
        <v>1</v>
      </c>
      <c r="P39" s="224" t="s">
        <v>144</v>
      </c>
      <c r="Q39" s="224" t="s">
        <v>5</v>
      </c>
      <c r="R39" s="227" t="s">
        <v>81</v>
      </c>
    </row>
    <row r="40" spans="2:18">
      <c r="B40" s="223" t="s">
        <v>145</v>
      </c>
      <c r="C40" s="228">
        <v>50</v>
      </c>
      <c r="D40" s="229">
        <v>0</v>
      </c>
      <c r="E40" s="228">
        <v>20</v>
      </c>
      <c r="F40" s="228">
        <v>2</v>
      </c>
      <c r="G40" s="225"/>
      <c r="H40" s="226" t="s">
        <v>145</v>
      </c>
      <c r="I40" s="230">
        <f>$C$40</f>
        <v>50</v>
      </c>
      <c r="J40" s="230">
        <f>$D$40</f>
        <v>0</v>
      </c>
      <c r="K40" s="230">
        <f>$E$40</f>
        <v>20</v>
      </c>
      <c r="L40" s="230">
        <f>$F$40</f>
        <v>2</v>
      </c>
      <c r="M40" s="231"/>
      <c r="N40" s="232" t="s">
        <v>145</v>
      </c>
      <c r="O40" s="230">
        <f>$C$40</f>
        <v>50</v>
      </c>
      <c r="P40" s="230">
        <f>$D$40</f>
        <v>0</v>
      </c>
      <c r="Q40" s="230">
        <f>$E$40</f>
        <v>20</v>
      </c>
      <c r="R40" s="230">
        <f>$F$40</f>
        <v>2</v>
      </c>
    </row>
    <row r="41" spans="2:18">
      <c r="B41" s="223" t="s">
        <v>143</v>
      </c>
      <c r="C41" s="228">
        <v>12</v>
      </c>
      <c r="D41" s="229">
        <v>0</v>
      </c>
      <c r="E41" s="228">
        <v>16</v>
      </c>
      <c r="F41" s="228">
        <v>1</v>
      </c>
      <c r="G41" s="225"/>
      <c r="H41" s="226" t="s">
        <v>143</v>
      </c>
      <c r="I41" s="229">
        <v>12</v>
      </c>
      <c r="J41" s="230">
        <f>D41</f>
        <v>0</v>
      </c>
      <c r="K41" s="229">
        <v>21</v>
      </c>
      <c r="L41" s="229">
        <f>F41-((DEGREES(ATAN((E7-E21)/(C7-C21))))-(DEGREES(ATAN((K7-K21)/(I7-I21)))))</f>
        <v>-3.0693835078732263</v>
      </c>
      <c r="M41" s="231"/>
      <c r="N41" s="232" t="s">
        <v>143</v>
      </c>
      <c r="O41" s="229">
        <v>12</v>
      </c>
      <c r="P41" s="230">
        <f>D41</f>
        <v>0</v>
      </c>
      <c r="Q41" s="229">
        <v>6</v>
      </c>
      <c r="R41" s="229">
        <f>F41-((DEGREES(ATAN((E7-E21)/(C7-C21))))-(DEGREES(ATAN((Q7-Q21)/(O7-O21)))))</f>
        <v>4.9818175790183972</v>
      </c>
    </row>
    <row r="42" spans="2:18">
      <c r="B42" s="223" t="s">
        <v>112</v>
      </c>
      <c r="C42" s="233">
        <f>((C40-C41)^2+(D40-D41)^2+(E40-E41)^2)^0.5</f>
        <v>38.209946349085598</v>
      </c>
      <c r="D42" s="225"/>
      <c r="E42" s="225"/>
      <c r="F42" s="225"/>
      <c r="G42" s="225"/>
      <c r="H42" s="226" t="s">
        <v>112</v>
      </c>
      <c r="I42" s="233">
        <f>((I40-I41)^2+(J40-J41)^2+(K40-K41)^2)^0.5</f>
        <v>38.013155617496423</v>
      </c>
      <c r="J42" s="225"/>
      <c r="K42" s="225"/>
      <c r="L42" s="225"/>
      <c r="M42" s="225"/>
      <c r="N42" s="226" t="s">
        <v>112</v>
      </c>
      <c r="O42" s="233">
        <f>((O40-O41)^2+(P40-P41)^2+(Q40-Q41)^2)^0.5</f>
        <v>40.496913462633174</v>
      </c>
      <c r="P42" s="225"/>
      <c r="Q42" s="225"/>
      <c r="R42" s="234"/>
    </row>
    <row r="43" spans="2:18">
      <c r="B43" s="223" t="s">
        <v>148</v>
      </c>
      <c r="C43" s="233">
        <f>DEGREES(ATAN((E40-E41)/(C40-C41)))</f>
        <v>6.0090059574945247</v>
      </c>
      <c r="D43" s="225"/>
      <c r="E43" s="225"/>
      <c r="F43" s="225"/>
      <c r="G43" s="225"/>
      <c r="H43" s="226" t="s">
        <v>149</v>
      </c>
      <c r="I43" s="233">
        <f>I42-C42</f>
        <v>-0.19679073158917504</v>
      </c>
      <c r="J43" s="225"/>
      <c r="K43" s="225"/>
      <c r="L43" s="225"/>
      <c r="M43" s="225"/>
      <c r="N43" s="226" t="s">
        <v>149</v>
      </c>
      <c r="O43" s="233">
        <f>O42-C42</f>
        <v>2.2869671135475755</v>
      </c>
      <c r="P43" s="225"/>
      <c r="Q43" s="225"/>
      <c r="R43" s="234"/>
    </row>
    <row r="44" spans="2:18">
      <c r="B44" s="223" t="s">
        <v>146</v>
      </c>
      <c r="C44" s="233">
        <f>C43-F40</f>
        <v>4.0090059574945247</v>
      </c>
      <c r="D44" s="225"/>
      <c r="E44" s="225"/>
      <c r="F44" s="225"/>
      <c r="G44" s="225"/>
      <c r="H44" s="226" t="s">
        <v>148</v>
      </c>
      <c r="I44" s="233">
        <f>DEGREES(ATAN((K40-K41)/(I40-I41)))</f>
        <v>-1.5074357587749678</v>
      </c>
      <c r="J44" s="225"/>
      <c r="K44" s="225"/>
      <c r="L44" s="225"/>
      <c r="M44" s="225"/>
      <c r="N44" s="226" t="s">
        <v>148</v>
      </c>
      <c r="O44" s="233">
        <f>DEGREES(ATAN((Q40-Q41)/(O40-O41)))</f>
        <v>20.224859431168078</v>
      </c>
      <c r="P44" s="225"/>
      <c r="Q44" s="225"/>
      <c r="R44" s="234"/>
    </row>
    <row r="45" spans="2:18">
      <c r="B45" s="223" t="s">
        <v>147</v>
      </c>
      <c r="C45" s="233">
        <f>(C43-F41)</f>
        <v>5.0090059574945247</v>
      </c>
      <c r="D45" s="225"/>
      <c r="E45" s="225"/>
      <c r="F45" s="225"/>
      <c r="G45" s="225"/>
      <c r="H45" s="226" t="s">
        <v>146</v>
      </c>
      <c r="I45" s="233">
        <f>I44-L40</f>
        <v>-3.5074357587749678</v>
      </c>
      <c r="J45" s="225"/>
      <c r="K45" s="225"/>
      <c r="L45" s="225"/>
      <c r="M45" s="225"/>
      <c r="N45" s="226" t="s">
        <v>146</v>
      </c>
      <c r="O45" s="233">
        <f>O44-R40</f>
        <v>18.224859431168078</v>
      </c>
      <c r="P45" s="225"/>
      <c r="Q45" s="225"/>
      <c r="R45" s="234"/>
    </row>
    <row r="46" spans="2:18">
      <c r="B46" s="235"/>
      <c r="C46" s="236"/>
      <c r="D46" s="236"/>
      <c r="E46" s="236"/>
      <c r="F46" s="236"/>
      <c r="G46" s="236"/>
      <c r="H46" s="237" t="s">
        <v>147</v>
      </c>
      <c r="I46" s="233">
        <f>(I44-L41)</f>
        <v>1.5619477490982585</v>
      </c>
      <c r="J46" s="236"/>
      <c r="K46" s="236"/>
      <c r="L46" s="236"/>
      <c r="M46" s="236"/>
      <c r="N46" s="237" t="s">
        <v>147</v>
      </c>
      <c r="O46" s="233">
        <f>(O44-R41)</f>
        <v>15.24304185214968</v>
      </c>
      <c r="P46" s="236"/>
      <c r="Q46" s="236"/>
      <c r="R46" s="238"/>
    </row>
    <row r="48" spans="2:18">
      <c r="Q48" s="17" t="s">
        <v>135</v>
      </c>
    </row>
    <row r="49" spans="17:17">
      <c r="Q49" s="17" t="s">
        <v>42</v>
      </c>
    </row>
    <row r="50" spans="17:17">
      <c r="Q50" s="17" t="s">
        <v>67</v>
      </c>
    </row>
    <row r="51" spans="17:17">
      <c r="Q51" s="17" t="s">
        <v>142</v>
      </c>
    </row>
    <row r="69" spans="4:4">
      <c r="D69" s="5"/>
    </row>
    <row r="70" spans="4:4">
      <c r="D70" s="5"/>
    </row>
    <row r="71" spans="4:4">
      <c r="D71" s="5"/>
    </row>
    <row r="72" spans="4:4">
      <c r="D72" s="5"/>
    </row>
  </sheetData>
  <scenarios current="2">
    <scenario name="Bump" count="2" user="Author" comment="Created by Author on 9/3/2004">
      <inputCells r="I7" val="0.392861990850761" numFmtId="4"/>
      <inputCells r="K7" val="33.0979258048019" numFmtId="4"/>
    </scenario>
    <scenario name="Droop" count="2" user="Author" comment="Created by Author on 9/3/2004">
      <inputCells r="O7" val="0.0020463326481071" numFmtId="4"/>
      <inputCells r="Q7" val="26.9365360324998" numFmtId="4"/>
    </scenario>
    <scenario name="Bump2" count="2" user="Author" comment="Created by Author on 9/3/2004">
      <inputCells r="I7" val="0.132170736872399" numFmtId="4"/>
      <inputCells r="K7" val="31.0726941339321" numFmtId="4"/>
    </scenario>
  </scenarios>
  <phoneticPr fontId="0" type="noConversion"/>
  <printOptions horizontalCentered="1" verticalCentered="1"/>
  <pageMargins left="0.5" right="0.5" top="0.5" bottom="0.5" header="0.5" footer="0.5"/>
  <pageSetup scale="61" orientation="landscape" verticalDpi="300" r:id="rId1"/>
  <headerFooter alignWithMargins="0"/>
  <legacyDrawing r:id="rId2"/>
  <controls>
    <control shapeId="6221" r:id="rId3" name="CmdCalc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B1:J50"/>
  <sheetViews>
    <sheetView showGridLines="0" workbookViewId="0">
      <selection activeCell="D58" sqref="D58"/>
    </sheetView>
  </sheetViews>
  <sheetFormatPr defaultColWidth="15.140625" defaultRowHeight="12.75"/>
  <cols>
    <col min="1" max="1" width="1.42578125" style="2" customWidth="1"/>
    <col min="2" max="2" width="19.28515625" style="1" customWidth="1"/>
    <col min="3" max="3" width="20" style="1" customWidth="1"/>
    <col min="4" max="5" width="20" style="2" customWidth="1"/>
    <col min="6" max="6" width="19.28515625" style="2" customWidth="1"/>
    <col min="7" max="7" width="20" style="1" customWidth="1"/>
    <col min="8" max="9" width="20" style="2" customWidth="1"/>
    <col min="10" max="16384" width="15.140625" style="2"/>
  </cols>
  <sheetData>
    <row r="1" spans="2:10" ht="20.25">
      <c r="B1" s="56" t="str">
        <f>Main!B1</f>
        <v>4 Bar Linkage Calculator v3.0</v>
      </c>
      <c r="J1" s="24"/>
    </row>
    <row r="2" spans="2:10" ht="15.75">
      <c r="B2" s="31" t="s">
        <v>35</v>
      </c>
      <c r="C2" s="28"/>
      <c r="D2" s="7"/>
      <c r="E2" s="7"/>
      <c r="F2" s="6"/>
      <c r="G2" s="25"/>
      <c r="H2" s="25"/>
      <c r="I2" s="25"/>
      <c r="J2" s="24"/>
    </row>
    <row r="3" spans="2:10" ht="15.75">
      <c r="B3" s="38" t="s">
        <v>4</v>
      </c>
      <c r="C3" s="48"/>
      <c r="D3" s="50"/>
      <c r="E3" s="39"/>
      <c r="F3" s="47" t="s">
        <v>6</v>
      </c>
      <c r="G3" s="176"/>
      <c r="H3" s="48"/>
      <c r="I3" s="49"/>
      <c r="J3" s="24"/>
    </row>
    <row r="4" spans="2:10">
      <c r="B4" s="14" t="s">
        <v>64</v>
      </c>
      <c r="C4" s="4">
        <v>1.5</v>
      </c>
      <c r="D4" s="15" t="s">
        <v>10</v>
      </c>
      <c r="E4" s="40"/>
      <c r="F4" s="14" t="s">
        <v>64</v>
      </c>
      <c r="G4" s="4">
        <v>1.75</v>
      </c>
      <c r="H4" s="15" t="s">
        <v>10</v>
      </c>
      <c r="I4" s="40"/>
      <c r="J4" s="24"/>
    </row>
    <row r="5" spans="2:10">
      <c r="B5" s="14" t="s">
        <v>65</v>
      </c>
      <c r="C5" s="4">
        <v>0.12</v>
      </c>
      <c r="D5" s="15" t="s">
        <v>10</v>
      </c>
      <c r="E5" s="40"/>
      <c r="F5" s="14" t="s">
        <v>65</v>
      </c>
      <c r="G5" s="4">
        <v>0.188</v>
      </c>
      <c r="H5" s="15" t="s">
        <v>10</v>
      </c>
      <c r="I5" s="40"/>
      <c r="J5" s="24"/>
    </row>
    <row r="6" spans="2:10">
      <c r="B6" s="16" t="s">
        <v>36</v>
      </c>
      <c r="C6" s="4" t="s">
        <v>107</v>
      </c>
      <c r="D6" s="19"/>
      <c r="E6" s="41"/>
      <c r="F6" s="16" t="s">
        <v>36</v>
      </c>
      <c r="G6" s="4" t="s">
        <v>109</v>
      </c>
      <c r="H6" s="19"/>
      <c r="I6" s="41"/>
      <c r="J6" s="24"/>
    </row>
    <row r="7" spans="2:10">
      <c r="B7" s="14" t="s">
        <v>22</v>
      </c>
      <c r="C7" s="3">
        <v>32000</v>
      </c>
      <c r="D7" s="11" t="s">
        <v>11</v>
      </c>
      <c r="E7" s="42"/>
      <c r="F7" s="14" t="s">
        <v>22</v>
      </c>
      <c r="G7" s="3">
        <v>55000</v>
      </c>
      <c r="H7" s="11" t="s">
        <v>11</v>
      </c>
      <c r="I7" s="42"/>
      <c r="J7" s="24"/>
    </row>
    <row r="8" spans="2:10">
      <c r="B8" s="16" t="s">
        <v>96</v>
      </c>
      <c r="C8" s="52">
        <f>LOOKUP(C6,B27:C49)</f>
        <v>29000000</v>
      </c>
      <c r="D8" s="11" t="s">
        <v>98</v>
      </c>
      <c r="E8" s="42"/>
      <c r="F8" s="16" t="s">
        <v>96</v>
      </c>
      <c r="G8" s="177">
        <f>LOOKUP(G6,B27:C49)</f>
        <v>29700000</v>
      </c>
      <c r="H8" s="11" t="s">
        <v>98</v>
      </c>
      <c r="I8" s="42"/>
      <c r="J8" s="24"/>
    </row>
    <row r="9" spans="2:10">
      <c r="B9" s="16" t="s">
        <v>97</v>
      </c>
      <c r="C9" s="53">
        <f>LOOKUP(C6,B27:B49,D27:D49)</f>
        <v>50000</v>
      </c>
      <c r="D9" s="11" t="s">
        <v>98</v>
      </c>
      <c r="E9" s="42"/>
      <c r="F9" s="16" t="s">
        <v>97</v>
      </c>
      <c r="G9" s="177">
        <f>LOOKUP(G6,B27:B49,D27:D49)</f>
        <v>110000</v>
      </c>
      <c r="H9" s="11" t="s">
        <v>98</v>
      </c>
      <c r="I9" s="42"/>
      <c r="J9" s="24"/>
    </row>
    <row r="10" spans="2:10">
      <c r="B10" s="16" t="s">
        <v>49</v>
      </c>
      <c r="C10" s="37">
        <f>LOOKUP(C6,B27:B49,E27:E49)</f>
        <v>0.28399999999999997</v>
      </c>
      <c r="D10" s="11" t="s">
        <v>99</v>
      </c>
      <c r="E10" s="42"/>
      <c r="F10" s="16" t="s">
        <v>49</v>
      </c>
      <c r="G10" s="178">
        <f>LOOKUP(G6,B27:B49,E27:E49)</f>
        <v>0.28399999999999997</v>
      </c>
      <c r="H10" s="11" t="s">
        <v>99</v>
      </c>
      <c r="I10" s="42"/>
      <c r="J10" s="24"/>
    </row>
    <row r="11" spans="2:10">
      <c r="B11" s="30" t="s">
        <v>66</v>
      </c>
      <c r="C11" s="55">
        <f>((PI()/64)*(C4^4-(C4-2*C5)^4))</f>
        <v>0.12478142126275756</v>
      </c>
      <c r="D11" s="24" t="s">
        <v>12</v>
      </c>
      <c r="E11" s="26"/>
      <c r="F11" s="30" t="s">
        <v>66</v>
      </c>
      <c r="G11" s="179">
        <f>((PI()/64)*(G4^4-(G4-2*G5)^4))</f>
        <v>0.28543482266692694</v>
      </c>
      <c r="H11" s="24" t="s">
        <v>12</v>
      </c>
      <c r="I11" s="26"/>
      <c r="J11" s="24"/>
    </row>
    <row r="12" spans="2:10">
      <c r="B12" s="30" t="s">
        <v>26</v>
      </c>
      <c r="C12" s="55">
        <f>(PI()*(C4^2-(C4-2*C5)^2)/4)</f>
        <v>0.52024774343446967</v>
      </c>
      <c r="D12" s="24" t="s">
        <v>30</v>
      </c>
      <c r="E12" s="26"/>
      <c r="F12" s="30" t="s">
        <v>26</v>
      </c>
      <c r="G12" s="179">
        <f>(PI()*(G4^2-(G4-2*G5)^2)/4)</f>
        <v>0.92254753228256403</v>
      </c>
      <c r="H12" s="24" t="s">
        <v>30</v>
      </c>
      <c r="I12" s="26"/>
    </row>
    <row r="13" spans="2:10">
      <c r="B13" s="30" t="s">
        <v>28</v>
      </c>
      <c r="C13" s="36">
        <f>(C9*C12)</f>
        <v>26012.387171723483</v>
      </c>
      <c r="D13" s="24" t="s">
        <v>11</v>
      </c>
      <c r="E13" s="26"/>
      <c r="F13" s="30" t="s">
        <v>28</v>
      </c>
      <c r="G13" s="180">
        <f>(G9*G12)</f>
        <v>101480.22855108204</v>
      </c>
      <c r="H13" s="24" t="s">
        <v>11</v>
      </c>
      <c r="I13" s="26"/>
    </row>
    <row r="14" spans="2:10">
      <c r="B14" s="30" t="s">
        <v>29</v>
      </c>
      <c r="C14" s="36">
        <f>(PI()^2*C8*C11)/(C16^2)</f>
        <v>34843.66309229641</v>
      </c>
      <c r="D14" s="24" t="s">
        <v>11</v>
      </c>
      <c r="E14" s="26"/>
      <c r="F14" s="30" t="s">
        <v>29</v>
      </c>
      <c r="G14" s="180">
        <f>(PI()^2*G8*G11)/(G16^2)</f>
        <v>34374.98965732316</v>
      </c>
      <c r="H14" s="24" t="s">
        <v>11</v>
      </c>
      <c r="I14" s="26"/>
    </row>
    <row r="15" spans="2:10">
      <c r="B15" s="30" t="s">
        <v>27</v>
      </c>
      <c r="C15" s="36">
        <f>(C9*C11)/(0.125*C4*C16)</f>
        <v>1039.3378118619598</v>
      </c>
      <c r="D15" s="24" t="s">
        <v>11</v>
      </c>
      <c r="E15" s="26"/>
      <c r="F15" s="30" t="s">
        <v>27</v>
      </c>
      <c r="G15" s="180">
        <f>(G9*G11)/(0.125*G4*G16)</f>
        <v>2909.318655979002</v>
      </c>
      <c r="H15" s="24" t="s">
        <v>11</v>
      </c>
      <c r="I15" s="26"/>
    </row>
    <row r="16" spans="2:10">
      <c r="B16" s="30" t="s">
        <v>44</v>
      </c>
      <c r="C16" s="54">
        <f>VectorCalculations!C10</f>
        <v>32.015621187164243</v>
      </c>
      <c r="D16" s="8" t="s">
        <v>10</v>
      </c>
      <c r="E16" s="43"/>
      <c r="F16" s="30" t="s">
        <v>44</v>
      </c>
      <c r="G16" s="54">
        <f>VectorCalculations!C22</f>
        <v>49.33558553417604</v>
      </c>
      <c r="H16" s="8" t="s">
        <v>10</v>
      </c>
      <c r="I16" s="43"/>
    </row>
    <row r="17" spans="2:9">
      <c r="B17" s="30" t="s">
        <v>63</v>
      </c>
      <c r="C17" s="20">
        <f>(C16*C12*C10)</f>
        <v>4.7303195283460981</v>
      </c>
      <c r="D17" s="15" t="s">
        <v>11</v>
      </c>
      <c r="E17" s="40"/>
      <c r="F17" s="30" t="s">
        <v>63</v>
      </c>
      <c r="G17" s="20">
        <f>(G16*G12*G10)</f>
        <v>12.926096043468528</v>
      </c>
      <c r="H17" s="15" t="s">
        <v>11</v>
      </c>
      <c r="I17" s="40"/>
    </row>
    <row r="18" spans="2:9">
      <c r="B18" s="14" t="s">
        <v>18</v>
      </c>
      <c r="C18" s="66">
        <f>VectorCalculations!C14</f>
        <v>2667.9684322636867</v>
      </c>
      <c r="D18" s="120" t="str">
        <f>IF(C18&lt;0,"lb (Compression)","lb (Tension)")</f>
        <v>lb (Tension)</v>
      </c>
      <c r="E18" s="44"/>
      <c r="F18" s="14" t="s">
        <v>18</v>
      </c>
      <c r="G18" s="66">
        <f>VectorCalculations!C26</f>
        <v>-5248.4665461889408</v>
      </c>
      <c r="H18" s="120" t="str">
        <f>IF(G18&lt;0,"lb (Compression)","lb (Tension)")</f>
        <v>lb (Compression)</v>
      </c>
      <c r="I18" s="44"/>
    </row>
    <row r="19" spans="2:9">
      <c r="B19" s="14" t="s">
        <v>19</v>
      </c>
      <c r="C19" s="20">
        <f>(C13/C18)</f>
        <v>9.7498856647463388</v>
      </c>
      <c r="D19" s="10" t="s">
        <v>120</v>
      </c>
      <c r="E19" s="45"/>
      <c r="F19" s="14" t="s">
        <v>19</v>
      </c>
      <c r="G19" s="20">
        <f>(-G13/G18)</f>
        <v>19.33521489715309</v>
      </c>
      <c r="H19" s="10" t="s">
        <v>124</v>
      </c>
      <c r="I19" s="45"/>
    </row>
    <row r="20" spans="2:9">
      <c r="B20" s="14" t="s">
        <v>20</v>
      </c>
      <c r="C20" s="20">
        <f>(C14/C18)</f>
        <v>13.059998263447467</v>
      </c>
      <c r="D20" s="10" t="s">
        <v>121</v>
      </c>
      <c r="E20" s="45"/>
      <c r="F20" s="14" t="s">
        <v>20</v>
      </c>
      <c r="G20" s="20">
        <f>(-G14/G18)</f>
        <v>6.5495301065191711</v>
      </c>
      <c r="H20" s="10" t="s">
        <v>125</v>
      </c>
      <c r="I20" s="45"/>
    </row>
    <row r="21" spans="2:9">
      <c r="B21" s="30" t="s">
        <v>116</v>
      </c>
      <c r="C21" s="20">
        <f>(C15/(Main!C7/2))</f>
        <v>0.41573512474478391</v>
      </c>
      <c r="D21" s="10" t="s">
        <v>122</v>
      </c>
      <c r="E21" s="45"/>
      <c r="F21" s="14" t="s">
        <v>21</v>
      </c>
      <c r="G21" s="20">
        <f>(G15/(Main!C7/2))</f>
        <v>1.1637274623916007</v>
      </c>
      <c r="H21" s="10" t="s">
        <v>126</v>
      </c>
      <c r="I21" s="45"/>
    </row>
    <row r="22" spans="2:9">
      <c r="B22" s="18" t="s">
        <v>23</v>
      </c>
      <c r="C22" s="20">
        <f>(C7/C18)</f>
        <v>11.994144913044947</v>
      </c>
      <c r="D22" s="6" t="s">
        <v>123</v>
      </c>
      <c r="E22" s="46"/>
      <c r="F22" s="18" t="s">
        <v>23</v>
      </c>
      <c r="G22" s="20">
        <f>(-G7/G18)</f>
        <v>10.47925132340551</v>
      </c>
      <c r="H22" s="6" t="s">
        <v>123</v>
      </c>
      <c r="I22" s="46"/>
    </row>
    <row r="23" spans="2:9">
      <c r="B23" s="139" t="s">
        <v>37</v>
      </c>
      <c r="C23" s="140"/>
      <c r="D23" s="140"/>
      <c r="E23" s="140"/>
      <c r="F23" s="140"/>
      <c r="G23" s="140"/>
    </row>
    <row r="24" spans="2:9">
      <c r="B24" s="141"/>
      <c r="C24" s="142"/>
      <c r="D24" s="142"/>
      <c r="E24" s="142"/>
      <c r="F24" s="142"/>
      <c r="G24" s="143"/>
      <c r="I24" s="17" t="s">
        <v>135</v>
      </c>
    </row>
    <row r="25" spans="2:9">
      <c r="B25" s="144"/>
      <c r="C25" s="145" t="s">
        <v>38</v>
      </c>
      <c r="D25" s="145" t="s">
        <v>40</v>
      </c>
      <c r="E25" s="145" t="s">
        <v>49</v>
      </c>
      <c r="F25" s="146"/>
      <c r="G25" s="12"/>
      <c r="I25" s="17" t="s">
        <v>42</v>
      </c>
    </row>
    <row r="26" spans="2:9">
      <c r="B26" s="144"/>
      <c r="C26" s="147" t="s">
        <v>39</v>
      </c>
      <c r="D26" s="147" t="s">
        <v>41</v>
      </c>
      <c r="E26" s="147" t="s">
        <v>50</v>
      </c>
      <c r="F26" s="146"/>
      <c r="G26" s="12"/>
      <c r="I26" s="17" t="s">
        <v>67</v>
      </c>
    </row>
    <row r="27" spans="2:9">
      <c r="B27" s="148" t="s">
        <v>53</v>
      </c>
      <c r="C27" s="149">
        <v>10500000</v>
      </c>
      <c r="D27" s="149">
        <v>50000</v>
      </c>
      <c r="E27" s="150">
        <v>0.1</v>
      </c>
      <c r="F27" s="151"/>
      <c r="G27" s="152"/>
      <c r="I27" s="17" t="s">
        <v>142</v>
      </c>
    </row>
    <row r="28" spans="2:9">
      <c r="B28" s="148" t="s">
        <v>51</v>
      </c>
      <c r="C28" s="149">
        <v>10000000</v>
      </c>
      <c r="D28" s="149">
        <v>39900</v>
      </c>
      <c r="E28" s="150">
        <v>9.7500000000000003E-2</v>
      </c>
      <c r="F28" s="151"/>
      <c r="G28" s="152"/>
    </row>
    <row r="29" spans="2:9">
      <c r="B29" s="148" t="s">
        <v>52</v>
      </c>
      <c r="C29" s="149">
        <v>10400000</v>
      </c>
      <c r="D29" s="149">
        <v>73200</v>
      </c>
      <c r="E29" s="150">
        <v>0.10199999999999999</v>
      </c>
      <c r="F29" s="151"/>
      <c r="G29" s="152"/>
    </row>
    <row r="30" spans="2:9">
      <c r="B30" s="153" t="s">
        <v>107</v>
      </c>
      <c r="C30" s="149">
        <v>29000000</v>
      </c>
      <c r="D30" s="149">
        <v>50000</v>
      </c>
      <c r="E30" s="150">
        <v>0.28399999999999997</v>
      </c>
      <c r="F30" s="151" t="s">
        <v>45</v>
      </c>
      <c r="G30" s="152"/>
    </row>
    <row r="31" spans="2:9">
      <c r="B31" s="148" t="s">
        <v>108</v>
      </c>
      <c r="C31" s="149">
        <v>29700000</v>
      </c>
      <c r="D31" s="149">
        <v>63100</v>
      </c>
      <c r="E31" s="150">
        <v>0.28399999999999997</v>
      </c>
      <c r="F31" s="151" t="s">
        <v>46</v>
      </c>
      <c r="G31" s="152"/>
    </row>
    <row r="32" spans="2:9">
      <c r="B32" s="148" t="s">
        <v>109</v>
      </c>
      <c r="C32" s="149">
        <v>29700000</v>
      </c>
      <c r="D32" s="149">
        <v>110000</v>
      </c>
      <c r="E32" s="150">
        <v>0.28399999999999997</v>
      </c>
      <c r="F32" s="151" t="s">
        <v>47</v>
      </c>
      <c r="G32" s="152"/>
    </row>
    <row r="33" spans="2:7">
      <c r="B33" s="148" t="s">
        <v>110</v>
      </c>
      <c r="C33" s="149">
        <v>29700000</v>
      </c>
      <c r="D33" s="149">
        <v>114000</v>
      </c>
      <c r="E33" s="150">
        <v>0.28399999999999997</v>
      </c>
      <c r="F33" s="151" t="s">
        <v>46</v>
      </c>
      <c r="G33" s="152"/>
    </row>
    <row r="34" spans="2:7">
      <c r="B34" s="148" t="s">
        <v>111</v>
      </c>
      <c r="C34" s="149">
        <v>29700000</v>
      </c>
      <c r="D34" s="149">
        <v>160000</v>
      </c>
      <c r="E34" s="150">
        <v>0.28399999999999997</v>
      </c>
      <c r="F34" s="151" t="s">
        <v>48</v>
      </c>
      <c r="G34" s="152"/>
    </row>
    <row r="35" spans="2:7">
      <c r="B35" s="148" t="s">
        <v>54</v>
      </c>
      <c r="C35" s="149">
        <v>16500000</v>
      </c>
      <c r="D35" s="149">
        <v>128000</v>
      </c>
      <c r="E35" s="150">
        <v>0.16</v>
      </c>
      <c r="F35" s="151" t="s">
        <v>55</v>
      </c>
      <c r="G35" s="152"/>
    </row>
    <row r="36" spans="2:7">
      <c r="B36" s="154"/>
      <c r="C36" s="34"/>
      <c r="D36" s="32"/>
      <c r="E36" s="32"/>
      <c r="F36" s="32"/>
      <c r="G36" s="155"/>
    </row>
    <row r="37" spans="2:7">
      <c r="B37" s="154"/>
      <c r="C37" s="34"/>
      <c r="D37" s="32"/>
      <c r="E37" s="32"/>
      <c r="F37" s="32"/>
      <c r="G37" s="155"/>
    </row>
    <row r="38" spans="2:7">
      <c r="B38" s="154"/>
      <c r="C38" s="34"/>
      <c r="D38" s="32"/>
      <c r="E38" s="32"/>
      <c r="F38" s="32"/>
      <c r="G38" s="155"/>
    </row>
    <row r="39" spans="2:7">
      <c r="B39" s="154"/>
      <c r="C39" s="34"/>
      <c r="D39" s="32"/>
      <c r="E39" s="32"/>
      <c r="F39" s="32"/>
      <c r="G39" s="155"/>
    </row>
    <row r="40" spans="2:7">
      <c r="B40" s="154"/>
      <c r="C40" s="34"/>
      <c r="D40" s="32"/>
      <c r="E40" s="32"/>
      <c r="F40" s="32"/>
      <c r="G40" s="155"/>
    </row>
    <row r="41" spans="2:7">
      <c r="B41" s="154"/>
      <c r="C41" s="34"/>
      <c r="D41" s="32"/>
      <c r="E41" s="32"/>
      <c r="F41" s="32"/>
      <c r="G41" s="155"/>
    </row>
    <row r="42" spans="2:7">
      <c r="B42" s="154"/>
      <c r="C42" s="34"/>
      <c r="D42" s="32"/>
      <c r="E42" s="32"/>
      <c r="F42" s="32"/>
      <c r="G42" s="155"/>
    </row>
    <row r="43" spans="2:7">
      <c r="B43" s="154"/>
      <c r="C43" s="34"/>
      <c r="D43" s="32"/>
      <c r="E43" s="32"/>
      <c r="F43" s="32"/>
      <c r="G43" s="155"/>
    </row>
    <row r="44" spans="2:7">
      <c r="B44" s="154"/>
      <c r="C44" s="34"/>
      <c r="D44" s="32"/>
      <c r="E44" s="32"/>
      <c r="F44" s="32"/>
      <c r="G44" s="155"/>
    </row>
    <row r="45" spans="2:7">
      <c r="B45" s="154"/>
      <c r="C45" s="34"/>
      <c r="D45" s="32"/>
      <c r="E45" s="32"/>
      <c r="F45" s="32"/>
      <c r="G45" s="155"/>
    </row>
    <row r="46" spans="2:7">
      <c r="B46" s="154"/>
      <c r="C46" s="34"/>
      <c r="D46" s="32"/>
      <c r="E46" s="32"/>
      <c r="F46" s="32"/>
      <c r="G46" s="155"/>
    </row>
    <row r="47" spans="2:7">
      <c r="B47" s="154"/>
      <c r="C47" s="34"/>
      <c r="D47" s="32"/>
      <c r="E47" s="32"/>
      <c r="F47" s="32"/>
      <c r="G47" s="155"/>
    </row>
    <row r="48" spans="2:7">
      <c r="B48" s="154"/>
      <c r="C48" s="34"/>
      <c r="D48" s="32"/>
      <c r="E48" s="32"/>
      <c r="F48" s="32"/>
      <c r="G48" s="155"/>
    </row>
    <row r="49" spans="2:7">
      <c r="B49" s="156"/>
      <c r="C49" s="157"/>
      <c r="D49" s="158"/>
      <c r="E49" s="158"/>
      <c r="F49" s="158"/>
      <c r="G49" s="159"/>
    </row>
    <row r="50" spans="2:7">
      <c r="B50" s="174" t="s">
        <v>115</v>
      </c>
    </row>
  </sheetData>
  <sheetProtection sheet="1" objects="1" scenarios="1"/>
  <phoneticPr fontId="0" type="noConversion"/>
  <dataValidations disablePrompts="1" count="2">
    <dataValidation type="list" allowBlank="1" showInputMessage="1" showErrorMessage="1" sqref="G6">
      <formula1>$B$27:$B$49</formula1>
    </dataValidation>
    <dataValidation type="list" allowBlank="1" showInputMessage="1" showErrorMessage="1" sqref="C6">
      <formula1>$B$27:$B$49</formula1>
    </dataValidation>
  </dataValidations>
  <printOptions horizontalCentered="1" verticalCentered="1"/>
  <pageMargins left="0.5" right="0.5" top="0.5" bottom="0.5" header="0.5" footer="0.5"/>
  <pageSetup scale="61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B1:N5"/>
  <sheetViews>
    <sheetView workbookViewId="0">
      <selection activeCell="N5" sqref="N5"/>
    </sheetView>
  </sheetViews>
  <sheetFormatPr defaultRowHeight="12.75"/>
  <cols>
    <col min="1" max="1" width="1.42578125" style="21" customWidth="1"/>
    <col min="2" max="2" width="9.140625" style="21"/>
    <col min="3" max="3" width="9.140625" style="23"/>
    <col min="4" max="16384" width="9.140625" style="21"/>
  </cols>
  <sheetData>
    <row r="1" spans="2:14" ht="20.25">
      <c r="B1" s="71" t="str">
        <f>Main!B1</f>
        <v>4 Bar Linkage Calculator v3.0</v>
      </c>
    </row>
    <row r="2" spans="2:14">
      <c r="N2" s="17" t="s">
        <v>135</v>
      </c>
    </row>
    <row r="3" spans="2:14" ht="15">
      <c r="B3" s="22"/>
      <c r="N3" s="82" t="s">
        <v>42</v>
      </c>
    </row>
    <row r="4" spans="2:14">
      <c r="N4" s="82" t="s">
        <v>67</v>
      </c>
    </row>
    <row r="5" spans="2:14">
      <c r="N5" s="17" t="s">
        <v>142</v>
      </c>
    </row>
  </sheetData>
  <sheetProtection sheet="1" objects="1" scenarios="1" selectLockedCells="1" selectUnlockedCells="1"/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B1:X29"/>
  <sheetViews>
    <sheetView workbookViewId="0">
      <selection activeCell="I102" sqref="I102"/>
    </sheetView>
  </sheetViews>
  <sheetFormatPr defaultColWidth="11.42578125" defaultRowHeight="12.75"/>
  <cols>
    <col min="1" max="1" width="1.42578125" style="182" customWidth="1"/>
    <col min="2" max="2" width="5.7109375" style="205" customWidth="1"/>
    <col min="3" max="3" width="8.85546875" style="182" bestFit="1" customWidth="1"/>
    <col min="4" max="4" width="5.5703125" style="182" bestFit="1" customWidth="1"/>
    <col min="5" max="5" width="8.42578125" style="182" bestFit="1" customWidth="1"/>
    <col min="6" max="6" width="5.5703125" style="182" bestFit="1" customWidth="1"/>
    <col min="7" max="7" width="13.85546875" style="182" bestFit="1" customWidth="1"/>
    <col min="8" max="8" width="8.5703125" style="182" bestFit="1" customWidth="1"/>
    <col min="9" max="9" width="9.140625" style="182" bestFit="1" customWidth="1"/>
    <col min="10" max="10" width="6" style="182" bestFit="1" customWidth="1"/>
    <col min="11" max="11" width="3.5703125" style="182" customWidth="1"/>
    <col min="12" max="12" width="9.28515625" style="182" customWidth="1"/>
    <col min="13" max="13" width="6.140625" style="182" bestFit="1" customWidth="1"/>
    <col min="14" max="14" width="6.5703125" style="182" bestFit="1" customWidth="1"/>
    <col min="15" max="15" width="11.42578125" style="182" customWidth="1"/>
    <col min="16" max="16" width="17.42578125" style="182" bestFit="1" customWidth="1"/>
    <col min="17" max="16384" width="11.42578125" style="182"/>
  </cols>
  <sheetData>
    <row r="1" spans="2:24" ht="20.25">
      <c r="B1" s="200" t="str">
        <f>Main!B1</f>
        <v>4 Bar Linkage Calculator v3.0</v>
      </c>
    </row>
    <row r="2" spans="2:24" s="187" customFormat="1" ht="15">
      <c r="B2" s="201" t="s">
        <v>78</v>
      </c>
      <c r="C2" s="184"/>
      <c r="D2" s="184"/>
      <c r="E2" s="184"/>
      <c r="F2" s="184"/>
      <c r="G2" s="184"/>
      <c r="H2" s="184"/>
      <c r="I2" s="184"/>
      <c r="J2" s="185"/>
      <c r="K2" s="186"/>
      <c r="L2" s="183" t="s">
        <v>79</v>
      </c>
      <c r="M2" s="184"/>
      <c r="N2" s="185"/>
      <c r="P2" s="17" t="s">
        <v>135</v>
      </c>
      <c r="X2" s="189"/>
    </row>
    <row r="3" spans="2:24">
      <c r="B3" s="202"/>
      <c r="C3" s="190" t="s">
        <v>72</v>
      </c>
      <c r="D3" s="191"/>
      <c r="E3" s="190" t="s">
        <v>73</v>
      </c>
      <c r="F3" s="191"/>
      <c r="G3" s="190" t="s">
        <v>75</v>
      </c>
      <c r="H3" s="191"/>
      <c r="I3" s="182" t="s">
        <v>130</v>
      </c>
      <c r="J3" s="215">
        <v>4000</v>
      </c>
      <c r="K3" s="192"/>
      <c r="L3" s="193" t="s">
        <v>85</v>
      </c>
      <c r="M3" s="194">
        <v>80</v>
      </c>
      <c r="N3" s="195"/>
      <c r="P3" s="188" t="s">
        <v>42</v>
      </c>
    </row>
    <row r="4" spans="2:24">
      <c r="B4" s="203" t="s">
        <v>81</v>
      </c>
      <c r="C4" s="69" t="s">
        <v>1</v>
      </c>
      <c r="D4" s="70" t="s">
        <v>5</v>
      </c>
      <c r="E4" s="69" t="s">
        <v>1</v>
      </c>
      <c r="F4" s="70" t="s">
        <v>5</v>
      </c>
      <c r="G4" s="69" t="s">
        <v>1</v>
      </c>
      <c r="H4" s="70" t="s">
        <v>5</v>
      </c>
      <c r="I4" s="190" t="s">
        <v>106</v>
      </c>
      <c r="J4" s="196">
        <v>3.75</v>
      </c>
      <c r="K4" s="197"/>
      <c r="L4" s="190" t="s">
        <v>4</v>
      </c>
      <c r="M4" s="198"/>
      <c r="N4" s="191"/>
      <c r="P4" s="188" t="s">
        <v>67</v>
      </c>
    </row>
    <row r="5" spans="2:24">
      <c r="B5" s="203">
        <v>0</v>
      </c>
      <c r="C5" s="69">
        <f>(Main!$C$3-(SIN(RADIANS(B5)))*(Main!$C$4/2))</f>
        <v>104</v>
      </c>
      <c r="D5" s="70">
        <f>IF((Main!$C$5-((COS(RADIANS(B5)))*(Main!$C$4/2)))&lt;0,0,(Main!$C$5-((COS(RADIANS(B5)))*(Main!$C$4/2))))</f>
        <v>0</v>
      </c>
      <c r="E5" s="69">
        <f>((SIN(RADIANS(B5)))*(Main!$C$4/2))</f>
        <v>0</v>
      </c>
      <c r="F5" s="70">
        <f t="shared" ref="F5:F29" si="0">(D5)</f>
        <v>0</v>
      </c>
      <c r="G5" s="69">
        <f>Main!G4</f>
        <v>30</v>
      </c>
      <c r="H5" s="70">
        <f>Main!I4</f>
        <v>25</v>
      </c>
      <c r="I5" s="69" t="s">
        <v>1</v>
      </c>
      <c r="J5" s="70" t="s">
        <v>5</v>
      </c>
      <c r="K5" s="197"/>
      <c r="L5" s="69" t="s">
        <v>1</v>
      </c>
      <c r="M5" s="197" t="s">
        <v>0</v>
      </c>
      <c r="N5" s="70" t="s">
        <v>86</v>
      </c>
      <c r="P5" s="17" t="s">
        <v>142</v>
      </c>
    </row>
    <row r="6" spans="2:24">
      <c r="B6" s="203">
        <v>15</v>
      </c>
      <c r="C6" s="69">
        <f>(Main!$C$3-(SIN(RADIANS(B6)))*(Main!$C$4/2))</f>
        <v>99.341257188154628</v>
      </c>
      <c r="D6" s="70">
        <f>IF((Main!$C$5-((COS(RADIANS(B6)))*(Main!$C$4/2)))&lt;0,0,(Main!$C$5-((COS(RADIANS(B6)))*(Main!$C$4/2))))</f>
        <v>0</v>
      </c>
      <c r="E6" s="69">
        <f>((SIN(RADIANS(B6)))*(Main!$C$4/2))</f>
        <v>4.6587428118453733</v>
      </c>
      <c r="F6" s="70">
        <f t="shared" si="0"/>
        <v>0</v>
      </c>
      <c r="G6" s="67">
        <f>IF(VectorCalculations!$C$35="Infinite",$J$3,VectorCalculations!$C$35)</f>
        <v>90</v>
      </c>
      <c r="H6" s="68">
        <f>IF(VectorCalculations!C36="Infinite",G6*VectorCalculations!C17+Main!I5,VectorCalculations!C36)</f>
        <v>15</v>
      </c>
      <c r="I6" s="69">
        <f>SIN(RADIANS(B5))*$J$4/2</f>
        <v>0</v>
      </c>
      <c r="J6" s="70">
        <f>(COS(RADIANS(B5))*$J$4/2)+Main!$C$5</f>
        <v>18.875</v>
      </c>
      <c r="K6" s="197"/>
      <c r="L6" s="69">
        <f>Main!G4</f>
        <v>30</v>
      </c>
      <c r="M6" s="197">
        <f>Main!H4</f>
        <v>20</v>
      </c>
      <c r="N6" s="70">
        <f>(M6+$M$3)</f>
        <v>100</v>
      </c>
      <c r="P6" s="197"/>
    </row>
    <row r="7" spans="2:24">
      <c r="B7" s="203">
        <v>30</v>
      </c>
      <c r="C7" s="69">
        <f>(Main!$C$3-(SIN(RADIANS(B7)))*(Main!$C$4/2))</f>
        <v>95</v>
      </c>
      <c r="D7" s="70">
        <f>IF((Main!$C$5-((COS(RADIANS(B7)))*(Main!$C$4/2)))&lt;0,0,(Main!$C$5-((COS(RADIANS(B7)))*(Main!$C$4/2))))</f>
        <v>1.4115427318801039</v>
      </c>
      <c r="E7" s="69">
        <f>((SIN(RADIANS(B7)))*(Main!$C$4/2))</f>
        <v>8.9999999999999982</v>
      </c>
      <c r="F7" s="70">
        <f t="shared" si="0"/>
        <v>1.4115427318801039</v>
      </c>
      <c r="G7" s="190" t="s">
        <v>74</v>
      </c>
      <c r="H7" s="191"/>
      <c r="I7" s="69">
        <f>SIN(RADIANS(B7))*$J$4/2</f>
        <v>0.93749999999999989</v>
      </c>
      <c r="J7" s="70">
        <f>(COS(RADIANS(B7))*$J$4/2)+Main!$C$5</f>
        <v>18.623797632095823</v>
      </c>
      <c r="K7" s="197"/>
      <c r="L7" s="69">
        <f>Main!G5</f>
        <v>0</v>
      </c>
      <c r="M7" s="197">
        <f>Main!H5</f>
        <v>10</v>
      </c>
      <c r="N7" s="70">
        <f>(M7+$M$3)</f>
        <v>90</v>
      </c>
      <c r="P7" s="197"/>
    </row>
    <row r="8" spans="2:24">
      <c r="B8" s="203">
        <v>45</v>
      </c>
      <c r="C8" s="69">
        <f>(Main!$C$3-(SIN(RADIANS(B8)))*(Main!$C$4/2))</f>
        <v>91.272077938642141</v>
      </c>
      <c r="D8" s="70">
        <f>IF((Main!$C$5-((COS(RADIANS(B8)))*(Main!$C$4/2)))&lt;0,0,(Main!$C$5-((COS(RADIANS(B8)))*(Main!$C$4/2))))</f>
        <v>4.272077938642143</v>
      </c>
      <c r="E8" s="69">
        <f>((SIN(RADIANS(B8)))*(Main!$C$4/2))</f>
        <v>12.727922061357855</v>
      </c>
      <c r="F8" s="70">
        <f t="shared" si="0"/>
        <v>4.272077938642143</v>
      </c>
      <c r="G8" s="69" t="s">
        <v>1</v>
      </c>
      <c r="H8" s="70" t="s">
        <v>5</v>
      </c>
      <c r="I8" s="69">
        <f>SIN(RADIANS(B9))*$J$4/2</f>
        <v>1.6237976320958223</v>
      </c>
      <c r="J8" s="70">
        <f>(COS(RADIANS(B9))*$J$4/2)+Main!$C$5</f>
        <v>17.9375</v>
      </c>
      <c r="K8" s="197"/>
      <c r="L8" s="69">
        <f>Main!G4</f>
        <v>30</v>
      </c>
      <c r="M8" s="197">
        <f>(-M6)</f>
        <v>-20</v>
      </c>
      <c r="N8" s="70">
        <f>(M8+$M$3)</f>
        <v>60</v>
      </c>
      <c r="P8" s="192"/>
    </row>
    <row r="9" spans="2:24">
      <c r="B9" s="203">
        <v>60</v>
      </c>
      <c r="C9" s="69">
        <f>(Main!$C$3-(SIN(RADIANS(B9)))*(Main!$C$4/2))</f>
        <v>88.411542731880104</v>
      </c>
      <c r="D9" s="70">
        <f>IF((Main!$C$5-((COS(RADIANS(B9)))*(Main!$C$4/2)))&lt;0,0,(Main!$C$5-((COS(RADIANS(B9)))*(Main!$C$4/2))))</f>
        <v>7.9999999999999982</v>
      </c>
      <c r="E9" s="69">
        <f>((SIN(RADIANS(B9)))*(Main!$C$4/2))</f>
        <v>15.588457268119894</v>
      </c>
      <c r="F9" s="70">
        <f t="shared" si="0"/>
        <v>7.9999999999999982</v>
      </c>
      <c r="G9" s="69">
        <f>Main!G7</f>
        <v>50</v>
      </c>
      <c r="H9" s="70">
        <f>Main!I7</f>
        <v>15</v>
      </c>
      <c r="I9" s="69">
        <f>SIN(RADIANS(B11))*$J$4/2</f>
        <v>1.875</v>
      </c>
      <c r="J9" s="70">
        <f>(COS(RADIANS(B11))*$J$4/2)+Main!$C$5</f>
        <v>17</v>
      </c>
      <c r="K9" s="197"/>
      <c r="L9" s="67">
        <f>Main!G5</f>
        <v>0</v>
      </c>
      <c r="M9" s="199">
        <f>(-M7)</f>
        <v>-10</v>
      </c>
      <c r="N9" s="68">
        <f>(M9+$M$3)</f>
        <v>70</v>
      </c>
      <c r="P9" s="197"/>
    </row>
    <row r="10" spans="2:24">
      <c r="B10" s="203">
        <v>75</v>
      </c>
      <c r="C10" s="69">
        <f>(Main!$C$3-(SIN(RADIANS(B10)))*(Main!$C$4/2))</f>
        <v>86.61333512679677</v>
      </c>
      <c r="D10" s="70">
        <f>IF((Main!$C$5-((COS(RADIANS(B10)))*(Main!$C$4/2)))&lt;0,0,(Main!$C$5-((COS(RADIANS(B10)))*(Main!$C$4/2))))</f>
        <v>12.341257188154627</v>
      </c>
      <c r="E10" s="69">
        <f>((SIN(RADIANS(B10)))*(Main!$C$4/2))</f>
        <v>17.38666487320323</v>
      </c>
      <c r="F10" s="70">
        <f t="shared" si="0"/>
        <v>12.341257188154627</v>
      </c>
      <c r="G10" s="67">
        <f>IF(VectorCalculations!$C$35="Infinite",$J$3,VectorCalculations!$C$35)</f>
        <v>90</v>
      </c>
      <c r="H10" s="68">
        <f>IF(VectorCalculations!C36="Infinite",G10*VectorCalculations!C29+Main!I8,VectorCalculations!C36)</f>
        <v>15</v>
      </c>
      <c r="I10" s="69">
        <f>SIN(RADIANS(B13))*$J$4/2</f>
        <v>1.6237976320958225</v>
      </c>
      <c r="J10" s="70">
        <f>(COS(RADIANS(B13))*$J$4/2)+Main!$C$5</f>
        <v>16.0625</v>
      </c>
      <c r="K10" s="197"/>
      <c r="L10" s="190" t="s">
        <v>75</v>
      </c>
      <c r="M10" s="198"/>
      <c r="N10" s="191"/>
    </row>
    <row r="11" spans="2:24">
      <c r="B11" s="203">
        <v>90</v>
      </c>
      <c r="C11" s="69">
        <f>(Main!$C$3-(SIN(RADIANS(B11)))*(Main!$C$4/2))</f>
        <v>86</v>
      </c>
      <c r="D11" s="70">
        <f>IF((Main!$C$5-((COS(RADIANS(B11)))*(Main!$C$4/2)))&lt;0,0,(Main!$C$5-((COS(RADIANS(B11)))*(Main!$C$4/2))))</f>
        <v>17</v>
      </c>
      <c r="E11" s="69">
        <f>((SIN(RADIANS(B11)))*(Main!$C$4/2))</f>
        <v>18</v>
      </c>
      <c r="F11" s="70">
        <f t="shared" si="0"/>
        <v>17</v>
      </c>
      <c r="G11" s="190" t="s">
        <v>76</v>
      </c>
      <c r="H11" s="191"/>
      <c r="I11" s="69">
        <f>SIN(RADIANS(B15))*$J$4/2</f>
        <v>0.93749999999999989</v>
      </c>
      <c r="J11" s="70">
        <f>(COS(RADIANS(B15))*$J$4/2)+Main!$C$5</f>
        <v>15.376202367904177</v>
      </c>
      <c r="K11" s="197"/>
      <c r="L11" s="69" t="s">
        <v>1</v>
      </c>
      <c r="M11" s="197" t="s">
        <v>0</v>
      </c>
      <c r="N11" s="70"/>
    </row>
    <row r="12" spans="2:24">
      <c r="B12" s="203">
        <v>105</v>
      </c>
      <c r="C12" s="69">
        <f>(Main!$C$3-(SIN(RADIANS(B12)))*(Main!$C$4/2))</f>
        <v>86.61333512679677</v>
      </c>
      <c r="D12" s="70">
        <f>IF((Main!$C$5-((COS(RADIANS(B12)))*(Main!$C$4/2)))&lt;0,0,(Main!$C$5-((COS(RADIANS(B12)))*(Main!$C$4/2))))</f>
        <v>21.658742811845375</v>
      </c>
      <c r="E12" s="69">
        <f>((SIN(RADIANS(B12)))*(Main!$C$4/2))</f>
        <v>17.38666487320323</v>
      </c>
      <c r="F12" s="70">
        <f t="shared" si="0"/>
        <v>21.658742811845375</v>
      </c>
      <c r="G12" s="69" t="s">
        <v>1</v>
      </c>
      <c r="H12" s="70" t="s">
        <v>5</v>
      </c>
      <c r="I12" s="69">
        <f>SIN(RADIANS(B17))*$J$4/2</f>
        <v>2.2971533529536625E-16</v>
      </c>
      <c r="J12" s="70">
        <f>(COS(RADIANS(B17))*$J$4/2)+Main!$C$5</f>
        <v>15.125</v>
      </c>
      <c r="K12" s="197"/>
      <c r="L12" s="69">
        <f>L7</f>
        <v>0</v>
      </c>
      <c r="M12" s="197">
        <f>M7</f>
        <v>10</v>
      </c>
      <c r="N12" s="70">
        <f>(M12+$M$3)</f>
        <v>90</v>
      </c>
    </row>
    <row r="13" spans="2:24">
      <c r="B13" s="203">
        <v>120</v>
      </c>
      <c r="C13" s="69">
        <f>(Main!$C$3-(SIN(RADIANS(B13)))*(Main!$C$4/2))</f>
        <v>88.411542731880104</v>
      </c>
      <c r="D13" s="70">
        <f>IF((Main!$C$5-((COS(RADIANS(B13)))*(Main!$C$4/2)))&lt;0,0,(Main!$C$5-((COS(RADIANS(B13)))*(Main!$C$4/2))))</f>
        <v>25.999999999999996</v>
      </c>
      <c r="E13" s="69">
        <f>((SIN(RADIANS(B13)))*(Main!$C$4/2))</f>
        <v>15.588457268119896</v>
      </c>
      <c r="F13" s="70">
        <f t="shared" si="0"/>
        <v>25.999999999999996</v>
      </c>
      <c r="G13" s="69">
        <v>0</v>
      </c>
      <c r="H13" s="70">
        <v>0</v>
      </c>
      <c r="I13" s="69">
        <f>SIN(RADIANS(B19))*$J$4/2</f>
        <v>-0.93750000000000022</v>
      </c>
      <c r="J13" s="70">
        <f>(COS(RADIANS(B19))*$J$4/2)+Main!$C$5</f>
        <v>15.376202367904177</v>
      </c>
      <c r="K13" s="197"/>
      <c r="L13" s="69">
        <f>IF(VectorCalculations!C13="Parallel",$J$3,VectorCalculations!C13)</f>
        <v>-30</v>
      </c>
      <c r="M13" s="197">
        <f>VectorCalculations!D13</f>
        <v>0</v>
      </c>
      <c r="N13" s="70">
        <f>(M13+$M$3)</f>
        <v>80</v>
      </c>
    </row>
    <row r="14" spans="2:24">
      <c r="B14" s="203">
        <v>135</v>
      </c>
      <c r="C14" s="69">
        <f>(Main!$C$3-(SIN(RADIANS(B14)))*(Main!$C$4/2))</f>
        <v>91.272077938642141</v>
      </c>
      <c r="D14" s="70">
        <f>IF((Main!$C$5-((COS(RADIANS(B14)))*(Main!$C$4/2)))&lt;0,0,(Main!$C$5-((COS(RADIANS(B14)))*(Main!$C$4/2))))</f>
        <v>29.727922061357855</v>
      </c>
      <c r="E14" s="69">
        <f>((SIN(RADIANS(B14)))*(Main!$C$4/2))</f>
        <v>12.727922061357857</v>
      </c>
      <c r="F14" s="70">
        <f t="shared" si="0"/>
        <v>29.727922061357855</v>
      </c>
      <c r="G14" s="69">
        <f>IF(VectorCalculations!C35="Infinite",Main!C3,VectorCalculations!C35)</f>
        <v>90</v>
      </c>
      <c r="H14" s="70">
        <f>IF(VectorCalculations!C36="Infinite",VectorCalculations!C29*G14,VectorCalculations!C36)</f>
        <v>15</v>
      </c>
      <c r="I14" s="69">
        <f>SIN(RADIANS(B21))*$J$4/2</f>
        <v>-1.6237976320958221</v>
      </c>
      <c r="J14" s="70">
        <f>(COS(RADIANS(B21))*$J$4/2)+Main!$C$5</f>
        <v>16.0625</v>
      </c>
      <c r="K14" s="197"/>
      <c r="L14" s="67">
        <f>L12</f>
        <v>0</v>
      </c>
      <c r="M14" s="199">
        <f>-M12</f>
        <v>-10</v>
      </c>
      <c r="N14" s="68">
        <f>(M14+$M$3)</f>
        <v>70</v>
      </c>
    </row>
    <row r="15" spans="2:24">
      <c r="B15" s="203">
        <v>150</v>
      </c>
      <c r="C15" s="69">
        <f>(Main!$C$3-(SIN(RADIANS(B15)))*(Main!$C$4/2))</f>
        <v>95</v>
      </c>
      <c r="D15" s="70">
        <f>IF((Main!$C$5-((COS(RADIANS(B15)))*(Main!$C$4/2)))&lt;0,0,(Main!$C$5-((COS(RADIANS(B15)))*(Main!$C$4/2))))</f>
        <v>32.588457268119896</v>
      </c>
      <c r="E15" s="69">
        <f>((SIN(RADIANS(B15)))*(Main!$C$4/2))</f>
        <v>8.9999999999999982</v>
      </c>
      <c r="F15" s="70">
        <f t="shared" si="0"/>
        <v>32.588457268119896</v>
      </c>
      <c r="G15" s="67">
        <f>Main!$C$3</f>
        <v>104</v>
      </c>
      <c r="H15" s="68">
        <f>FORECAST(G15,H13:H14,G13:G14)</f>
        <v>17.333333333333332</v>
      </c>
      <c r="I15" s="69">
        <f>SIN(RADIANS(B23))*$J$4/2</f>
        <v>-1.875</v>
      </c>
      <c r="J15" s="70">
        <f>(COS(RADIANS(B23))*$J$4/2)+Main!$C$5</f>
        <v>17</v>
      </c>
      <c r="K15" s="197"/>
      <c r="L15" s="190" t="s">
        <v>6</v>
      </c>
      <c r="M15" s="198"/>
      <c r="N15" s="191"/>
    </row>
    <row r="16" spans="2:24">
      <c r="B16" s="203">
        <v>165</v>
      </c>
      <c r="C16" s="69">
        <f>(Main!$C$3-(SIN(RADIANS(B16)))*(Main!$C$4/2))</f>
        <v>99.341257188154628</v>
      </c>
      <c r="D16" s="70">
        <f>IF((Main!$C$5-((COS(RADIANS(B16)))*(Main!$C$4/2)))&lt;0,0,(Main!$C$5-((COS(RADIANS(B16)))*(Main!$C$4/2))))</f>
        <v>34.38666487320323</v>
      </c>
      <c r="E16" s="69">
        <f>((SIN(RADIANS(B16)))*(Main!$C$4/2))</f>
        <v>4.6587428118453786</v>
      </c>
      <c r="F16" s="70">
        <f t="shared" si="0"/>
        <v>34.38666487320323</v>
      </c>
      <c r="G16" s="190" t="s">
        <v>133</v>
      </c>
      <c r="H16" s="191"/>
      <c r="I16" s="69">
        <f>SIN(RADIANS(B25))*$J$4/2</f>
        <v>-1.6237976320958223</v>
      </c>
      <c r="J16" s="70">
        <f>(COS(RADIANS(B25))*$J$4/2)+Main!$C$5</f>
        <v>17.9375</v>
      </c>
      <c r="K16" s="197"/>
      <c r="L16" s="69" t="s">
        <v>1</v>
      </c>
      <c r="M16" s="197" t="s">
        <v>0</v>
      </c>
      <c r="N16" s="70"/>
    </row>
    <row r="17" spans="2:14">
      <c r="B17" s="203">
        <v>180</v>
      </c>
      <c r="C17" s="69">
        <f>(Main!$C$3-(SIN(RADIANS(B17)))*(Main!$C$4/2))</f>
        <v>104</v>
      </c>
      <c r="D17" s="70">
        <f>IF((Main!$C$5-((COS(RADIANS(B17)))*(Main!$C$4/2)))&lt;0,0,(Main!$C$5-((COS(RADIANS(B17)))*(Main!$C$4/2))))</f>
        <v>35</v>
      </c>
      <c r="E17" s="69">
        <f>((SIN(RADIANS(B17)))*(Main!$C$4/2))</f>
        <v>2.205267218835516E-15</v>
      </c>
      <c r="F17" s="70">
        <f t="shared" si="0"/>
        <v>35</v>
      </c>
      <c r="G17" s="69" t="s">
        <v>1</v>
      </c>
      <c r="H17" s="70" t="s">
        <v>5</v>
      </c>
      <c r="I17" s="69">
        <f>SIN(RADIANS(B27))*$J$4/2</f>
        <v>-0.93750000000000089</v>
      </c>
      <c r="J17" s="70">
        <f>(COS(RADIANS(B27))*$J$4/2)+Main!$C$5</f>
        <v>18.623797632095823</v>
      </c>
      <c r="K17" s="197"/>
      <c r="L17" s="69">
        <f>Main!G7</f>
        <v>50</v>
      </c>
      <c r="M17" s="197">
        <f>Main!H7</f>
        <v>5</v>
      </c>
      <c r="N17" s="70">
        <f>(M17+$M$3)</f>
        <v>85</v>
      </c>
    </row>
    <row r="18" spans="2:14">
      <c r="B18" s="203">
        <v>195</v>
      </c>
      <c r="C18" s="69">
        <f>(Main!$C$3-(SIN(RADIANS(B18)))*(Main!$C$4/2))</f>
        <v>108.65874281184537</v>
      </c>
      <c r="D18" s="70">
        <f>IF((Main!$C$5-((COS(RADIANS(B18)))*(Main!$C$4/2)))&lt;0,0,(Main!$C$5-((COS(RADIANS(B18)))*(Main!$C$4/2))))</f>
        <v>34.38666487320323</v>
      </c>
      <c r="E18" s="69">
        <f>((SIN(RADIANS(B18)))*(Main!$C$4/2))</f>
        <v>-4.6587428118453742</v>
      </c>
      <c r="F18" s="70">
        <f t="shared" si="0"/>
        <v>34.38666487320323</v>
      </c>
      <c r="G18" s="69">
        <v>-20</v>
      </c>
      <c r="H18" s="70">
        <f>VectorCalculations!C4</f>
        <v>27.395348837209301</v>
      </c>
      <c r="I18" s="67">
        <f>SIN(RADIANS(B29))*$J$4/2</f>
        <v>-4.594306705907325E-16</v>
      </c>
      <c r="J18" s="68">
        <f>(COS(RADIANS(B29))*$J$4/2)+Main!$C$5</f>
        <v>18.875</v>
      </c>
      <c r="L18" s="69">
        <f>Main!G8</f>
        <v>3</v>
      </c>
      <c r="M18" s="197">
        <f>Main!H8</f>
        <v>20</v>
      </c>
      <c r="N18" s="70">
        <f>(M18+$M$3)</f>
        <v>100</v>
      </c>
    </row>
    <row r="19" spans="2:14">
      <c r="B19" s="203">
        <v>210</v>
      </c>
      <c r="C19" s="69">
        <f>(Main!$C$3-(SIN(RADIANS(B19)))*(Main!$C$4/2))</f>
        <v>113</v>
      </c>
      <c r="D19" s="70">
        <f>IF((Main!$C$5-((COS(RADIANS(B19)))*(Main!$C$4/2)))&lt;0,0,(Main!$C$5-((COS(RADIANS(B19)))*(Main!$C$4/2))))</f>
        <v>32.588457268119896</v>
      </c>
      <c r="E19" s="69">
        <f>((SIN(RADIANS(B19)))*(Main!$C$4/2))</f>
        <v>-9.0000000000000018</v>
      </c>
      <c r="F19" s="70">
        <f t="shared" si="0"/>
        <v>32.588457268119896</v>
      </c>
      <c r="G19" s="67">
        <v>120</v>
      </c>
      <c r="H19" s="68">
        <f>VectorCalculations!C4</f>
        <v>27.395348837209301</v>
      </c>
      <c r="L19" s="69">
        <f>(L17)</f>
        <v>50</v>
      </c>
      <c r="M19" s="197">
        <f>(-M17)</f>
        <v>-5</v>
      </c>
      <c r="N19" s="70">
        <f>(M19+$M$3)</f>
        <v>75</v>
      </c>
    </row>
    <row r="20" spans="2:14">
      <c r="B20" s="203">
        <v>225</v>
      </c>
      <c r="C20" s="69">
        <f>(Main!$C$3-(SIN(RADIANS(B20)))*(Main!$C$4/2))</f>
        <v>116.72792206135786</v>
      </c>
      <c r="D20" s="70">
        <f>IF((Main!$C$5-((COS(RADIANS(B20)))*(Main!$C$4/2)))&lt;0,0,(Main!$C$5-((COS(RADIANS(B20)))*(Main!$C$4/2))))</f>
        <v>29.727922061357859</v>
      </c>
      <c r="E20" s="69">
        <f>((SIN(RADIANS(B20)))*(Main!$C$4/2))</f>
        <v>-12.727922061357855</v>
      </c>
      <c r="F20" s="70">
        <f t="shared" si="0"/>
        <v>29.727922061357859</v>
      </c>
      <c r="G20" s="190" t="s">
        <v>77</v>
      </c>
      <c r="H20" s="191"/>
      <c r="L20" s="67">
        <f>L18</f>
        <v>3</v>
      </c>
      <c r="M20" s="199">
        <f>(-M18)</f>
        <v>-20</v>
      </c>
      <c r="N20" s="68">
        <f>(M20+$M$3)</f>
        <v>60</v>
      </c>
    </row>
    <row r="21" spans="2:14">
      <c r="B21" s="203">
        <v>240</v>
      </c>
      <c r="C21" s="69">
        <f>(Main!$C$3-(SIN(RADIANS(B21)))*(Main!$C$4/2))</f>
        <v>119.5884572681199</v>
      </c>
      <c r="D21" s="70">
        <f>IF((Main!$C$5-((COS(RADIANS(B21)))*(Main!$C$4/2)))&lt;0,0,(Main!$C$5-((COS(RADIANS(B21)))*(Main!$C$4/2))))</f>
        <v>26.000000000000007</v>
      </c>
      <c r="E21" s="69">
        <f>((SIN(RADIANS(B21)))*(Main!$C$4/2))</f>
        <v>-15.588457268119891</v>
      </c>
      <c r="F21" s="70">
        <f t="shared" si="0"/>
        <v>26.000000000000007</v>
      </c>
      <c r="G21" s="69" t="s">
        <v>1</v>
      </c>
      <c r="H21" s="70" t="s">
        <v>5</v>
      </c>
      <c r="L21" s="190" t="s">
        <v>74</v>
      </c>
      <c r="M21" s="198"/>
      <c r="N21" s="191"/>
    </row>
    <row r="22" spans="2:14">
      <c r="B22" s="203">
        <v>255</v>
      </c>
      <c r="C22" s="69">
        <f>(Main!$C$3-(SIN(RADIANS(B22)))*(Main!$C$4/2))</f>
        <v>121.38666487320323</v>
      </c>
      <c r="D22" s="70">
        <f>IF((Main!$C$5-((COS(RADIANS(B22)))*(Main!$C$4/2)))&lt;0,0,(Main!$C$5-((COS(RADIANS(B22)))*(Main!$C$4/2))))</f>
        <v>21.658742811845372</v>
      </c>
      <c r="E22" s="69">
        <f>((SIN(RADIANS(B22)))*(Main!$C$4/2))</f>
        <v>-17.38666487320323</v>
      </c>
      <c r="F22" s="70">
        <f t="shared" si="0"/>
        <v>21.658742811845372</v>
      </c>
      <c r="G22" s="69">
        <v>0</v>
      </c>
      <c r="H22" s="70">
        <v>0</v>
      </c>
      <c r="L22" s="69" t="s">
        <v>1</v>
      </c>
      <c r="M22" s="197" t="s">
        <v>0</v>
      </c>
      <c r="N22" s="70"/>
    </row>
    <row r="23" spans="2:14">
      <c r="B23" s="203">
        <v>270</v>
      </c>
      <c r="C23" s="69">
        <f>(Main!$C$3-(SIN(RADIANS(B23)))*(Main!$C$4/2))</f>
        <v>122</v>
      </c>
      <c r="D23" s="70">
        <f>IF((Main!$C$5-((COS(RADIANS(B23)))*(Main!$C$4/2)))&lt;0,0,(Main!$C$5-((COS(RADIANS(B23)))*(Main!$C$4/2))))</f>
        <v>17.000000000000004</v>
      </c>
      <c r="E23" s="69">
        <f>((SIN(RADIANS(B23)))*(Main!$C$4/2))</f>
        <v>-18</v>
      </c>
      <c r="F23" s="70">
        <f t="shared" si="0"/>
        <v>17.000000000000004</v>
      </c>
      <c r="G23" s="67">
        <f>Main!C3</f>
        <v>104</v>
      </c>
      <c r="H23" s="68">
        <f>VectorCalculations!C4</f>
        <v>27.395348837209301</v>
      </c>
      <c r="L23" s="69">
        <f>L17</f>
        <v>50</v>
      </c>
      <c r="M23" s="197">
        <f>M17</f>
        <v>5</v>
      </c>
      <c r="N23" s="70">
        <f>(M23+$M$3)</f>
        <v>85</v>
      </c>
    </row>
    <row r="24" spans="2:14">
      <c r="B24" s="203">
        <v>285</v>
      </c>
      <c r="C24" s="69">
        <f>(Main!$C$3-(SIN(RADIANS(B24)))*(Main!$C$4/2))</f>
        <v>121.38666487320323</v>
      </c>
      <c r="D24" s="70">
        <f>IF((Main!$C$5-((COS(RADIANS(B24)))*(Main!$C$4/2)))&lt;0,0,(Main!$C$5-((COS(RADIANS(B24)))*(Main!$C$4/2))))</f>
        <v>12.341257188154636</v>
      </c>
      <c r="E24" s="69">
        <f>((SIN(RADIANS(B24)))*(Main!$C$4/2))</f>
        <v>-17.38666487320323</v>
      </c>
      <c r="F24" s="70">
        <f t="shared" si="0"/>
        <v>12.341257188154636</v>
      </c>
      <c r="G24" s="190" t="s">
        <v>80</v>
      </c>
      <c r="H24" s="191"/>
      <c r="L24" s="69">
        <f>IF(VectorCalculations!C25="Parallel",$J$3,VectorCalculations!C25)</f>
        <v>65.666666666666657</v>
      </c>
      <c r="M24" s="197">
        <f>VectorCalculations!D25</f>
        <v>0</v>
      </c>
      <c r="N24" s="70">
        <f>(M24+$M$3)</f>
        <v>80</v>
      </c>
    </row>
    <row r="25" spans="2:14">
      <c r="B25" s="203">
        <v>300</v>
      </c>
      <c r="C25" s="69">
        <f>(Main!$C$3-(SIN(RADIANS(B25)))*(Main!$C$4/2))</f>
        <v>119.5884572681199</v>
      </c>
      <c r="D25" s="70">
        <f>IF((Main!$C$5-((COS(RADIANS(B25)))*(Main!$C$4/2)))&lt;0,0,(Main!$C$5-((COS(RADIANS(B25)))*(Main!$C$4/2))))</f>
        <v>7.9999999999999982</v>
      </c>
      <c r="E25" s="69">
        <f>((SIN(RADIANS(B25)))*(Main!$C$4/2))</f>
        <v>-15.588457268119894</v>
      </c>
      <c r="F25" s="70">
        <f t="shared" si="0"/>
        <v>7.9999999999999982</v>
      </c>
      <c r="G25" s="69" t="s">
        <v>1</v>
      </c>
      <c r="H25" s="70" t="s">
        <v>5</v>
      </c>
      <c r="L25" s="67">
        <f>L23</f>
        <v>50</v>
      </c>
      <c r="M25" s="199">
        <f>-M23</f>
        <v>-5</v>
      </c>
      <c r="N25" s="68">
        <f>(M25+$M$3)</f>
        <v>75</v>
      </c>
    </row>
    <row r="26" spans="2:14">
      <c r="B26" s="203">
        <v>315</v>
      </c>
      <c r="C26" s="69">
        <f>(Main!$C$3-(SIN(RADIANS(B26)))*(Main!$C$4/2))</f>
        <v>116.72792206135786</v>
      </c>
      <c r="D26" s="70">
        <f>IF((Main!$C$5-((COS(RADIANS(B26)))*(Main!$C$4/2)))&lt;0,0,(Main!$C$5-((COS(RADIANS(B26)))*(Main!$C$4/2))))</f>
        <v>4.2720779386421484</v>
      </c>
      <c r="E26" s="69">
        <f>((SIN(RADIANS(B26)))*(Main!$C$4/2))</f>
        <v>-12.727922061357859</v>
      </c>
      <c r="F26" s="70">
        <f t="shared" si="0"/>
        <v>4.2720779386421484</v>
      </c>
      <c r="G26" s="197">
        <f>IF(VectorCalculations!C13="Parallel",$J$3,VectorCalculations!C13)</f>
        <v>-30</v>
      </c>
      <c r="H26" s="70">
        <f>IF(VectorCalculations!E23="N/A",VectorCalculations!$C$32*G26+VectorCalculations!$C$33,IF(VectorCalculations!E13="N/A",(Plot!G26*VectorCalculations!C32)+VectorCalculations!C33,VectorCalculations!E13))</f>
        <v>35</v>
      </c>
    </row>
    <row r="27" spans="2:14">
      <c r="B27" s="203">
        <v>330</v>
      </c>
      <c r="C27" s="69">
        <f>(Main!$C$3-(SIN(RADIANS(B27)))*(Main!$C$4/2))</f>
        <v>113</v>
      </c>
      <c r="D27" s="70">
        <f>IF((Main!$C$5-((COS(RADIANS(B27)))*(Main!$C$4/2)))&lt;0,0,(Main!$C$5-((COS(RADIANS(B27)))*(Main!$C$4/2))))</f>
        <v>1.4115427318801093</v>
      </c>
      <c r="E27" s="69">
        <f>((SIN(RADIANS(B27)))*(Main!$C$4/2))</f>
        <v>-9.0000000000000071</v>
      </c>
      <c r="F27" s="70">
        <f t="shared" si="0"/>
        <v>1.4115427318801093</v>
      </c>
      <c r="G27" s="69">
        <v>0</v>
      </c>
      <c r="H27" s="70">
        <f>VectorCalculations!C33</f>
        <v>28.728222996515679</v>
      </c>
    </row>
    <row r="28" spans="2:14">
      <c r="B28" s="203">
        <v>345</v>
      </c>
      <c r="C28" s="69">
        <f>(Main!$C$3-(SIN(RADIANS(B28)))*(Main!$C$4/2))</f>
        <v>108.65874281184537</v>
      </c>
      <c r="D28" s="70">
        <f>IF((Main!$C$5-((COS(RADIANS(B28)))*(Main!$C$4/2)))&lt;0,0,(Main!$C$5-((COS(RADIANS(B28)))*(Main!$C$4/2))))</f>
        <v>0</v>
      </c>
      <c r="E28" s="69">
        <f>((SIN(RADIANS(B28)))*(Main!$C$4/2))</f>
        <v>-4.6587428118453724</v>
      </c>
      <c r="F28" s="70">
        <f t="shared" si="0"/>
        <v>0</v>
      </c>
      <c r="G28" s="67">
        <f>IF(VectorCalculations!C25="Parallel",$J$3,VectorCalculations!C25)</f>
        <v>65.666666666666657</v>
      </c>
      <c r="H28" s="68">
        <f>IF(VectorCalculations!E25="N/A",VectorCalculations!$C$32*G28+VectorCalculations!$C$33,VectorCalculations!E25)</f>
        <v>15</v>
      </c>
    </row>
    <row r="29" spans="2:14">
      <c r="B29" s="204">
        <v>360</v>
      </c>
      <c r="C29" s="67">
        <f>(Main!$C$3-(SIN(RADIANS(B29)))*(Main!$C$4/2))</f>
        <v>104</v>
      </c>
      <c r="D29" s="68">
        <f>IF((Main!$C$5-((COS(RADIANS(B29)))*(Main!$C$4/2)))&lt;0,0,(Main!$C$5-((COS(RADIANS(B29)))*(Main!$C$4/2))))</f>
        <v>0</v>
      </c>
      <c r="E29" s="67">
        <f>((SIN(RADIANS(B29)))*(Main!$C$4/2))</f>
        <v>-4.410534437671032E-15</v>
      </c>
      <c r="F29" s="68">
        <f t="shared" si="0"/>
        <v>0</v>
      </c>
    </row>
  </sheetData>
  <sheetProtection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B1:D40"/>
  <sheetViews>
    <sheetView workbookViewId="0">
      <selection activeCell="C32" sqref="C32"/>
    </sheetView>
  </sheetViews>
  <sheetFormatPr defaultRowHeight="12.75"/>
  <cols>
    <col min="1" max="1" width="1.42578125" style="160" customWidth="1"/>
    <col min="2" max="2" width="8.5703125" style="161" customWidth="1"/>
    <col min="3" max="3" width="71.42578125" style="160" customWidth="1"/>
    <col min="4" max="4" width="10.28515625" style="161" customWidth="1"/>
    <col min="5" max="16384" width="9.140625" style="160"/>
  </cols>
  <sheetData>
    <row r="1" spans="2:4" ht="20.25">
      <c r="B1" s="83" t="str">
        <f>Main!B1</f>
        <v>4 Bar Linkage Calculator v3.0</v>
      </c>
    </row>
    <row r="2" spans="2:4" ht="18">
      <c r="B2" s="162" t="s">
        <v>56</v>
      </c>
    </row>
    <row r="4" spans="2:4" ht="13.5" thickBot="1">
      <c r="B4" s="163" t="s">
        <v>57</v>
      </c>
      <c r="C4" s="164" t="s">
        <v>58</v>
      </c>
      <c r="D4" s="163" t="s">
        <v>59</v>
      </c>
    </row>
    <row r="5" spans="2:4" ht="6.75" customHeight="1">
      <c r="B5" s="165"/>
      <c r="C5" s="166"/>
      <c r="D5" s="165"/>
    </row>
    <row r="6" spans="2:4">
      <c r="B6" s="167">
        <v>1.5</v>
      </c>
      <c r="C6" s="168" t="s">
        <v>60</v>
      </c>
      <c r="D6" s="169" t="s">
        <v>62</v>
      </c>
    </row>
    <row r="7" spans="2:4">
      <c r="B7" s="170"/>
      <c r="C7" s="171" t="s">
        <v>61</v>
      </c>
    </row>
    <row r="8" spans="2:4">
      <c r="B8" s="170"/>
      <c r="C8" s="171" t="s">
        <v>68</v>
      </c>
    </row>
    <row r="9" spans="2:4">
      <c r="C9" s="172"/>
    </row>
    <row r="10" spans="2:4">
      <c r="B10" s="210">
        <v>2</v>
      </c>
      <c r="C10" s="168" t="s">
        <v>82</v>
      </c>
      <c r="D10" s="169" t="s">
        <v>84</v>
      </c>
    </row>
    <row r="11" spans="2:4">
      <c r="B11" s="170"/>
      <c r="C11" s="171" t="s">
        <v>83</v>
      </c>
    </row>
    <row r="12" spans="2:4">
      <c r="B12" s="211"/>
      <c r="C12" s="171" t="s">
        <v>91</v>
      </c>
      <c r="D12" s="160"/>
    </row>
    <row r="13" spans="2:4">
      <c r="B13" s="211"/>
      <c r="C13" s="171" t="s">
        <v>93</v>
      </c>
    </row>
    <row r="14" spans="2:4">
      <c r="B14" s="211"/>
      <c r="C14" s="171" t="s">
        <v>92</v>
      </c>
    </row>
    <row r="15" spans="2:4">
      <c r="B15" s="211"/>
      <c r="C15" s="172"/>
    </row>
    <row r="16" spans="2:4">
      <c r="B16" s="212">
        <v>3</v>
      </c>
      <c r="C16" s="168" t="s">
        <v>104</v>
      </c>
      <c r="D16" s="169" t="s">
        <v>131</v>
      </c>
    </row>
    <row r="17" spans="2:4">
      <c r="B17" s="211"/>
      <c r="C17" s="171" t="s">
        <v>105</v>
      </c>
    </row>
    <row r="18" spans="2:4">
      <c r="B18" s="211"/>
      <c r="C18" s="173" t="s">
        <v>137</v>
      </c>
    </row>
    <row r="19" spans="2:4">
      <c r="B19" s="211"/>
      <c r="C19" s="171" t="s">
        <v>136</v>
      </c>
    </row>
    <row r="20" spans="2:4">
      <c r="B20" s="211"/>
      <c r="C20" s="171" t="s">
        <v>139</v>
      </c>
    </row>
    <row r="21" spans="2:4">
      <c r="B21" s="170"/>
      <c r="C21" s="171" t="s">
        <v>140</v>
      </c>
    </row>
    <row r="22" spans="2:4">
      <c r="B22" s="170"/>
      <c r="C22" s="171" t="s">
        <v>141</v>
      </c>
    </row>
    <row r="23" spans="2:4">
      <c r="B23" s="167" t="s">
        <v>155</v>
      </c>
      <c r="C23" s="171" t="s">
        <v>151</v>
      </c>
      <c r="D23" s="218" t="s">
        <v>153</v>
      </c>
    </row>
    <row r="24" spans="2:4">
      <c r="B24" s="170"/>
      <c r="C24" s="171" t="s">
        <v>152</v>
      </c>
    </row>
    <row r="37" spans="4:4">
      <c r="D37" s="17" t="s">
        <v>135</v>
      </c>
    </row>
    <row r="38" spans="4:4">
      <c r="D38" s="82" t="s">
        <v>42</v>
      </c>
    </row>
    <row r="39" spans="4:4">
      <c r="D39" s="82" t="s">
        <v>67</v>
      </c>
    </row>
    <row r="40" spans="4:4">
      <c r="D40" s="17" t="s">
        <v>142</v>
      </c>
    </row>
  </sheetData>
  <sheetProtection sheet="1" objects="1" scenarios="1" selectLockedCells="1" selectUnlockedCell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Main</vt:lpstr>
      <vt:lpstr>VectorCalculations</vt:lpstr>
      <vt:lpstr>Travel</vt:lpstr>
      <vt:lpstr>Material</vt:lpstr>
      <vt:lpstr>Coordinate</vt:lpstr>
      <vt:lpstr>Plot</vt:lpstr>
      <vt:lpstr>Revision</vt:lpstr>
      <vt:lpstr>Front_Unsprung_Mass</vt:lpstr>
      <vt:lpstr>Main!Print_Area</vt:lpstr>
      <vt:lpstr>Material!Print_Area</vt:lpstr>
      <vt:lpstr>Travel!Print_Area</vt:lpstr>
      <vt:lpstr>VectorCalculations!Print_Area</vt:lpstr>
      <vt:lpstr>Rear_Unsprung_Mass</vt:lpstr>
      <vt:lpstr>Tire_Rolling_Radius</vt:lpstr>
      <vt:lpstr>Vehicle_CG_Height</vt:lpstr>
      <vt:lpstr>Vehicle_Mass</vt:lpstr>
      <vt:lpstr>Wheelbase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2003-12-07T18:56:49Z</cp:lastPrinted>
  <dcterms:created xsi:type="dcterms:W3CDTF">2003-09-04T21:56:31Z</dcterms:created>
  <dcterms:modified xsi:type="dcterms:W3CDTF">2009-01-04T23:06:27Z</dcterms:modified>
</cp:coreProperties>
</file>